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firstSheet="1" activeTab="1"/>
  </bookViews>
  <sheets>
    <sheet name="Меню школы (7-11 лет)" sheetId="11" r:id="rId1"/>
    <sheet name="Меню школы (12 лет и старше)" sheetId="16" r:id="rId2"/>
  </sheets>
  <calcPr calcId="124519"/>
</workbook>
</file>

<file path=xl/calcChain.xml><?xml version="1.0" encoding="utf-8"?>
<calcChain xmlns="http://schemas.openxmlformats.org/spreadsheetml/2006/main">
  <c r="E105" i="16"/>
  <c r="G297"/>
  <c r="F297"/>
  <c r="G294"/>
  <c r="F294"/>
  <c r="E294"/>
  <c r="D294"/>
  <c r="G293"/>
  <c r="F293"/>
  <c r="E293"/>
  <c r="D293"/>
  <c r="G290"/>
  <c r="F290"/>
  <c r="E290"/>
  <c r="D290"/>
  <c r="G289"/>
  <c r="F289"/>
  <c r="E289"/>
  <c r="D289"/>
  <c r="G288"/>
  <c r="F288"/>
  <c r="F295" s="1"/>
  <c r="E288"/>
  <c r="D288"/>
  <c r="D295" s="1"/>
  <c r="G286"/>
  <c r="F286"/>
  <c r="E286"/>
  <c r="D286"/>
  <c r="G283"/>
  <c r="F283"/>
  <c r="E283"/>
  <c r="D283"/>
  <c r="G282"/>
  <c r="F282"/>
  <c r="E282"/>
  <c r="D282"/>
  <c r="G266"/>
  <c r="F266"/>
  <c r="G263"/>
  <c r="F263"/>
  <c r="E263"/>
  <c r="D263"/>
  <c r="G262"/>
  <c r="F262"/>
  <c r="E262"/>
  <c r="D262"/>
  <c r="G260"/>
  <c r="F260"/>
  <c r="E260"/>
  <c r="D260"/>
  <c r="G259"/>
  <c r="F259"/>
  <c r="E259"/>
  <c r="D259"/>
  <c r="G258"/>
  <c r="F258"/>
  <c r="E258"/>
  <c r="D258"/>
  <c r="G257"/>
  <c r="F257"/>
  <c r="F264" s="1"/>
  <c r="E257"/>
  <c r="D257"/>
  <c r="D264" s="1"/>
  <c r="G252"/>
  <c r="D192"/>
  <c r="E192"/>
  <c r="F192"/>
  <c r="G192"/>
  <c r="F252"/>
  <c r="F256" s="1"/>
  <c r="F267" s="1"/>
  <c r="E252"/>
  <c r="D252"/>
  <c r="D256" s="1"/>
  <c r="D267" s="1"/>
  <c r="G235"/>
  <c r="F235"/>
  <c r="G232"/>
  <c r="F232"/>
  <c r="E232"/>
  <c r="D232"/>
  <c r="G231"/>
  <c r="F231"/>
  <c r="E231"/>
  <c r="D231"/>
  <c r="G229"/>
  <c r="F229"/>
  <c r="E229"/>
  <c r="D229"/>
  <c r="G228"/>
  <c r="F228"/>
  <c r="E228"/>
  <c r="D228"/>
  <c r="G227"/>
  <c r="F227"/>
  <c r="E227"/>
  <c r="D227"/>
  <c r="G226"/>
  <c r="F226"/>
  <c r="F233" s="1"/>
  <c r="E226"/>
  <c r="D226"/>
  <c r="D233" s="1"/>
  <c r="G222"/>
  <c r="F222"/>
  <c r="E222"/>
  <c r="D222"/>
  <c r="G221"/>
  <c r="F221"/>
  <c r="E221"/>
  <c r="D221"/>
  <c r="D225" s="1"/>
  <c r="D236" s="1"/>
  <c r="G205"/>
  <c r="F205"/>
  <c r="G202"/>
  <c r="F202"/>
  <c r="E202"/>
  <c r="D202"/>
  <c r="G201"/>
  <c r="F201"/>
  <c r="E201"/>
  <c r="D201"/>
  <c r="G199"/>
  <c r="F199"/>
  <c r="E199"/>
  <c r="D199"/>
  <c r="G198"/>
  <c r="F198"/>
  <c r="E198"/>
  <c r="D198"/>
  <c r="G197"/>
  <c r="F197"/>
  <c r="E197"/>
  <c r="D197"/>
  <c r="G196"/>
  <c r="F196"/>
  <c r="F203" s="1"/>
  <c r="E196"/>
  <c r="D196"/>
  <c r="D203" s="1"/>
  <c r="G190"/>
  <c r="F190"/>
  <c r="E190"/>
  <c r="D190"/>
  <c r="G174"/>
  <c r="F174"/>
  <c r="G171"/>
  <c r="F171"/>
  <c r="E171"/>
  <c r="D171"/>
  <c r="G170"/>
  <c r="F170"/>
  <c r="E170"/>
  <c r="D170"/>
  <c r="G168"/>
  <c r="F168"/>
  <c r="E168"/>
  <c r="D168"/>
  <c r="G167"/>
  <c r="F167"/>
  <c r="E167"/>
  <c r="D167"/>
  <c r="G166"/>
  <c r="F166"/>
  <c r="E166"/>
  <c r="D166"/>
  <c r="G165"/>
  <c r="F165"/>
  <c r="F172" s="1"/>
  <c r="E165"/>
  <c r="D165"/>
  <c r="D172" s="1"/>
  <c r="G159"/>
  <c r="F159"/>
  <c r="F164" s="1"/>
  <c r="E159"/>
  <c r="D159"/>
  <c r="D164" s="1"/>
  <c r="G142"/>
  <c r="F142"/>
  <c r="G139"/>
  <c r="F139"/>
  <c r="E139"/>
  <c r="D139"/>
  <c r="G138"/>
  <c r="F138"/>
  <c r="E138"/>
  <c r="D138"/>
  <c r="G136"/>
  <c r="F136"/>
  <c r="E136"/>
  <c r="D136"/>
  <c r="G135"/>
  <c r="F135"/>
  <c r="E135"/>
  <c r="D135"/>
  <c r="G134"/>
  <c r="F134"/>
  <c r="E134"/>
  <c r="D134"/>
  <c r="G133"/>
  <c r="F133"/>
  <c r="F140" s="1"/>
  <c r="E133"/>
  <c r="D133"/>
  <c r="D140" s="1"/>
  <c r="G131"/>
  <c r="F131"/>
  <c r="E131"/>
  <c r="D131"/>
  <c r="G128"/>
  <c r="F128"/>
  <c r="E128"/>
  <c r="D128"/>
  <c r="D132" s="1"/>
  <c r="D143" s="1"/>
  <c r="G112"/>
  <c r="F112"/>
  <c r="G109"/>
  <c r="F109"/>
  <c r="E109"/>
  <c r="D109"/>
  <c r="G108"/>
  <c r="F108"/>
  <c r="E108"/>
  <c r="D108"/>
  <c r="G106"/>
  <c r="F106"/>
  <c r="E106"/>
  <c r="D106"/>
  <c r="G105"/>
  <c r="F105"/>
  <c r="D105"/>
  <c r="G104"/>
  <c r="F104"/>
  <c r="E104"/>
  <c r="D104"/>
  <c r="G103"/>
  <c r="F103"/>
  <c r="E103"/>
  <c r="D103"/>
  <c r="G99"/>
  <c r="F99"/>
  <c r="E99"/>
  <c r="D99"/>
  <c r="G97"/>
  <c r="G102" s="1"/>
  <c r="F97"/>
  <c r="E97"/>
  <c r="D97"/>
  <c r="G80"/>
  <c r="F80"/>
  <c r="G77"/>
  <c r="F77"/>
  <c r="E77"/>
  <c r="D77"/>
  <c r="G76"/>
  <c r="F76"/>
  <c r="E76"/>
  <c r="D76"/>
  <c r="G73"/>
  <c r="F73"/>
  <c r="E73"/>
  <c r="D73"/>
  <c r="G72"/>
  <c r="F72"/>
  <c r="D72"/>
  <c r="E72"/>
  <c r="G71"/>
  <c r="F71"/>
  <c r="E71"/>
  <c r="D71"/>
  <c r="G66"/>
  <c r="G70" s="1"/>
  <c r="F66"/>
  <c r="E66"/>
  <c r="D66"/>
  <c r="G48"/>
  <c r="F48"/>
  <c r="G45"/>
  <c r="F45"/>
  <c r="E45"/>
  <c r="D45"/>
  <c r="G44"/>
  <c r="F44"/>
  <c r="E44"/>
  <c r="D44"/>
  <c r="G42"/>
  <c r="F42"/>
  <c r="E42"/>
  <c r="D42"/>
  <c r="G41"/>
  <c r="F41"/>
  <c r="E41"/>
  <c r="D41"/>
  <c r="G40"/>
  <c r="F40"/>
  <c r="E40"/>
  <c r="D40"/>
  <c r="G36"/>
  <c r="F36"/>
  <c r="E36"/>
  <c r="D36"/>
  <c r="G34"/>
  <c r="G39" s="1"/>
  <c r="F34"/>
  <c r="E34"/>
  <c r="E39" s="1"/>
  <c r="D34"/>
  <c r="G18"/>
  <c r="F18"/>
  <c r="G15"/>
  <c r="F15"/>
  <c r="E15"/>
  <c r="D15"/>
  <c r="G14"/>
  <c r="F14"/>
  <c r="E14"/>
  <c r="D14"/>
  <c r="G12"/>
  <c r="F12"/>
  <c r="E12"/>
  <c r="D12"/>
  <c r="G11"/>
  <c r="F11"/>
  <c r="E11"/>
  <c r="D11"/>
  <c r="G10"/>
  <c r="F10"/>
  <c r="E10"/>
  <c r="D10"/>
  <c r="G9"/>
  <c r="F9"/>
  <c r="E9"/>
  <c r="E16" s="1"/>
  <c r="D9"/>
  <c r="G5"/>
  <c r="F5"/>
  <c r="E5"/>
  <c r="D5"/>
  <c r="G4"/>
  <c r="G8" s="1"/>
  <c r="F4"/>
  <c r="E4"/>
  <c r="D4"/>
  <c r="G295"/>
  <c r="E295"/>
  <c r="C295"/>
  <c r="G287"/>
  <c r="F287"/>
  <c r="E287"/>
  <c r="D287"/>
  <c r="C287"/>
  <c r="G264"/>
  <c r="E264"/>
  <c r="C264"/>
  <c r="C256"/>
  <c r="G256"/>
  <c r="E256"/>
  <c r="E267" s="1"/>
  <c r="G233"/>
  <c r="E233"/>
  <c r="C233"/>
  <c r="G225"/>
  <c r="F225"/>
  <c r="C225"/>
  <c r="E225"/>
  <c r="G203"/>
  <c r="E203"/>
  <c r="C203"/>
  <c r="G195"/>
  <c r="F195"/>
  <c r="E195"/>
  <c r="D195"/>
  <c r="C195"/>
  <c r="G172"/>
  <c r="C172"/>
  <c r="C164"/>
  <c r="G164"/>
  <c r="E164"/>
  <c r="G140"/>
  <c r="E140"/>
  <c r="C140"/>
  <c r="G132"/>
  <c r="F132"/>
  <c r="C132"/>
  <c r="E132"/>
  <c r="E143" s="1"/>
  <c r="G110"/>
  <c r="E110"/>
  <c r="C110"/>
  <c r="F102"/>
  <c r="C102"/>
  <c r="E102"/>
  <c r="D102"/>
  <c r="G78"/>
  <c r="F78"/>
  <c r="E78"/>
  <c r="C78"/>
  <c r="F70"/>
  <c r="C70"/>
  <c r="E70"/>
  <c r="E81" s="1"/>
  <c r="D70"/>
  <c r="G46"/>
  <c r="F46"/>
  <c r="E46"/>
  <c r="D46"/>
  <c r="C46"/>
  <c r="F39"/>
  <c r="D39"/>
  <c r="C39"/>
  <c r="G16"/>
  <c r="D16"/>
  <c r="C16"/>
  <c r="F8"/>
  <c r="D8"/>
  <c r="C8"/>
  <c r="E8"/>
  <c r="E295" i="11"/>
  <c r="F295"/>
  <c r="G295"/>
  <c r="D295"/>
  <c r="C295"/>
  <c r="E287"/>
  <c r="F287"/>
  <c r="G287"/>
  <c r="D287"/>
  <c r="C287"/>
  <c r="E264"/>
  <c r="F264"/>
  <c r="G264"/>
  <c r="D264"/>
  <c r="C264"/>
  <c r="F256"/>
  <c r="C256"/>
  <c r="E233"/>
  <c r="F233"/>
  <c r="G233"/>
  <c r="D233"/>
  <c r="C233"/>
  <c r="F225"/>
  <c r="C225"/>
  <c r="E203"/>
  <c r="F203"/>
  <c r="G203"/>
  <c r="D203"/>
  <c r="C203"/>
  <c r="E195"/>
  <c r="F195"/>
  <c r="G195"/>
  <c r="D195"/>
  <c r="C195"/>
  <c r="E172"/>
  <c r="F172"/>
  <c r="G172"/>
  <c r="D172"/>
  <c r="C172"/>
  <c r="F164"/>
  <c r="C164"/>
  <c r="E140"/>
  <c r="F140"/>
  <c r="G140"/>
  <c r="C140"/>
  <c r="D140"/>
  <c r="F132"/>
  <c r="C132"/>
  <c r="E110"/>
  <c r="F110"/>
  <c r="G110"/>
  <c r="D110"/>
  <c r="C110"/>
  <c r="F102"/>
  <c r="C102"/>
  <c r="E78"/>
  <c r="F78"/>
  <c r="G78"/>
  <c r="D78"/>
  <c r="C78"/>
  <c r="F70"/>
  <c r="C70"/>
  <c r="E46"/>
  <c r="F46"/>
  <c r="G46"/>
  <c r="D46"/>
  <c r="C46"/>
  <c r="E39"/>
  <c r="F39"/>
  <c r="G39"/>
  <c r="D39"/>
  <c r="C39"/>
  <c r="G297"/>
  <c r="F297"/>
  <c r="E297"/>
  <c r="D297"/>
  <c r="G266"/>
  <c r="F266"/>
  <c r="E266"/>
  <c r="D266"/>
  <c r="G235"/>
  <c r="F235"/>
  <c r="E235"/>
  <c r="D235"/>
  <c r="G205"/>
  <c r="F205"/>
  <c r="E205"/>
  <c r="D205"/>
  <c r="G174"/>
  <c r="F174"/>
  <c r="E174"/>
  <c r="D174"/>
  <c r="G142"/>
  <c r="F142"/>
  <c r="E142"/>
  <c r="D142"/>
  <c r="G112"/>
  <c r="F112"/>
  <c r="E112"/>
  <c r="D112"/>
  <c r="G80"/>
  <c r="F80"/>
  <c r="E80"/>
  <c r="D80"/>
  <c r="G48"/>
  <c r="F48"/>
  <c r="E48"/>
  <c r="D48"/>
  <c r="E16"/>
  <c r="F16"/>
  <c r="G16"/>
  <c r="D16"/>
  <c r="C16"/>
  <c r="F8"/>
  <c r="C8"/>
  <c r="G18"/>
  <c r="F18"/>
  <c r="E18"/>
  <c r="D18"/>
  <c r="E253"/>
  <c r="E256" s="1"/>
  <c r="D253"/>
  <c r="D256" s="1"/>
  <c r="D267" s="1"/>
  <c r="E162"/>
  <c r="E164" s="1"/>
  <c r="D162"/>
  <c r="D164" s="1"/>
  <c r="D175" s="1"/>
  <c r="E129"/>
  <c r="E132" s="1"/>
  <c r="D129"/>
  <c r="D132" s="1"/>
  <c r="D143" s="1"/>
  <c r="E222"/>
  <c r="E225" s="1"/>
  <c r="E236" s="1"/>
  <c r="D222"/>
  <c r="D225" s="1"/>
  <c r="D236" s="1"/>
  <c r="E99"/>
  <c r="E102" s="1"/>
  <c r="E113" s="1"/>
  <c r="D99"/>
  <c r="D102" s="1"/>
  <c r="D113" s="1"/>
  <c r="G162"/>
  <c r="G164" s="1"/>
  <c r="G175" s="1"/>
  <c r="G253"/>
  <c r="G256" s="1"/>
  <c r="G267" s="1"/>
  <c r="G129"/>
  <c r="G132" s="1"/>
  <c r="G143" s="1"/>
  <c r="G67"/>
  <c r="G70" s="1"/>
  <c r="G81" s="1"/>
  <c r="E67"/>
  <c r="E70" s="1"/>
  <c r="E81" s="1"/>
  <c r="D67"/>
  <c r="D70" s="1"/>
  <c r="D81" s="1"/>
  <c r="G222"/>
  <c r="G225" s="1"/>
  <c r="G236" s="1"/>
  <c r="G99"/>
  <c r="G102" s="1"/>
  <c r="G113" s="1"/>
  <c r="G5"/>
  <c r="G8" s="1"/>
  <c r="G19" s="1"/>
  <c r="E5"/>
  <c r="E8" s="1"/>
  <c r="E19" s="1"/>
  <c r="D5"/>
  <c r="D8" s="1"/>
  <c r="D19" s="1"/>
  <c r="E236" i="16" l="1"/>
  <c r="D78"/>
  <c r="F110"/>
  <c r="F113" s="1"/>
  <c r="D110"/>
  <c r="D113" s="1"/>
  <c r="G113"/>
  <c r="D81"/>
  <c r="G236"/>
  <c r="D298"/>
  <c r="E49"/>
  <c r="G49"/>
  <c r="E113"/>
  <c r="F16"/>
  <c r="E172"/>
  <c r="E143" i="11"/>
  <c r="E175"/>
  <c r="E267"/>
  <c r="F19"/>
  <c r="G49"/>
  <c r="G144" s="1"/>
  <c r="E49"/>
  <c r="F113"/>
  <c r="F175"/>
  <c r="G206"/>
  <c r="E206"/>
  <c r="F267"/>
  <c r="G298"/>
  <c r="E298"/>
  <c r="D49"/>
  <c r="D144" s="1"/>
  <c r="F49"/>
  <c r="F81"/>
  <c r="F143"/>
  <c r="D206"/>
  <c r="F206"/>
  <c r="F236"/>
  <c r="D298"/>
  <c r="F298"/>
  <c r="F298" i="16"/>
  <c r="G298"/>
  <c r="E298"/>
  <c r="G267"/>
  <c r="F236"/>
  <c r="F206"/>
  <c r="D206"/>
  <c r="E206"/>
  <c r="G206"/>
  <c r="G175"/>
  <c r="F175"/>
  <c r="E175"/>
  <c r="D175"/>
  <c r="D299" s="1"/>
  <c r="G143"/>
  <c r="F143"/>
  <c r="G81"/>
  <c r="F81"/>
  <c r="F49"/>
  <c r="D49"/>
  <c r="G19"/>
  <c r="F19"/>
  <c r="E19"/>
  <c r="D19"/>
  <c r="G144" l="1"/>
  <c r="F299"/>
  <c r="D300"/>
  <c r="G300"/>
  <c r="E300"/>
  <c r="F144"/>
  <c r="E144" i="11"/>
  <c r="F300"/>
  <c r="D299"/>
  <c r="F144"/>
  <c r="G299"/>
  <c r="E299"/>
  <c r="D300"/>
  <c r="E300"/>
  <c r="F299"/>
  <c r="G300"/>
  <c r="G299" i="16"/>
  <c r="E299"/>
  <c r="F300"/>
  <c r="D144"/>
  <c r="E144"/>
</calcChain>
</file>

<file path=xl/sharedStrings.xml><?xml version="1.0" encoding="utf-8"?>
<sst xmlns="http://schemas.openxmlformats.org/spreadsheetml/2006/main" count="820" uniqueCount="145">
  <si>
    <t>Завтрак</t>
  </si>
  <si>
    <t>Хлеб пшеничный</t>
  </si>
  <si>
    <t>Фрукт свежий</t>
  </si>
  <si>
    <t>Обед</t>
  </si>
  <si>
    <t>Хлеб ржаной</t>
  </si>
  <si>
    <t>Икра кабачковая</t>
  </si>
  <si>
    <t>Кондитерское изделие</t>
  </si>
  <si>
    <t>Бутерброд с сыром</t>
  </si>
  <si>
    <t>Чай с молоком</t>
  </si>
  <si>
    <t>Соль йодированная</t>
  </si>
  <si>
    <t>Гуляш из птицы</t>
  </si>
  <si>
    <t>Рис отварной</t>
  </si>
  <si>
    <t>Омлет натуральный</t>
  </si>
  <si>
    <t>Бутерброд с маслом</t>
  </si>
  <si>
    <t>Кофейный напиток с молоком</t>
  </si>
  <si>
    <t>Суп гороховый с мясом и гренками</t>
  </si>
  <si>
    <t>Компот из сухофруктов</t>
  </si>
  <si>
    <t>Чай с сахаром</t>
  </si>
  <si>
    <t>Суп картофельный с курицей</t>
  </si>
  <si>
    <t>Картофельное пюре</t>
  </si>
  <si>
    <t>Какао с молоком</t>
  </si>
  <si>
    <t>Суп рыбный</t>
  </si>
  <si>
    <t>Печень по-строгановски</t>
  </si>
  <si>
    <t>Макароны отварные</t>
  </si>
  <si>
    <t>Компот из свежих фруктов</t>
  </si>
  <si>
    <t>Бутерброд с маслом и сыром</t>
  </si>
  <si>
    <t>Гуляш из мяса</t>
  </si>
  <si>
    <t>Каша гречневая рассыпчатая</t>
  </si>
  <si>
    <t>Суфле творожное запеченое</t>
  </si>
  <si>
    <t>Суп из овощей с мясом и сметаной</t>
  </si>
  <si>
    <t>Картофель отварной</t>
  </si>
  <si>
    <t>Котлета домашняя</t>
  </si>
  <si>
    <t>Запеканка творожная со сгущенным молоком</t>
  </si>
  <si>
    <t>Борщ со сметаной и мясом</t>
  </si>
  <si>
    <t>Котлета рыбная</t>
  </si>
  <si>
    <t>Плов из птицы</t>
  </si>
  <si>
    <t>Булочка домашняя</t>
  </si>
  <si>
    <t>Жаркое по-домашнему с мясом</t>
  </si>
  <si>
    <t>Прием пищи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</si>
  <si>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</si>
  <si>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</si>
  <si>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</si>
  <si>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</si>
  <si>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</si>
  <si>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</si>
  <si>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Итого за завтрак</t>
  </si>
  <si>
    <t>Итого за обед</t>
  </si>
  <si>
    <t>Неделя 1 
День 1</t>
  </si>
  <si>
    <t>Наименование блюд</t>
  </si>
  <si>
    <t>Углеводы</t>
  </si>
  <si>
    <t>Рец. 173 СРБ для ООУ Тутельян В.А. 2015</t>
  </si>
  <si>
    <t>Рец. 3 СРБ для ООУ Тутельян В.А. 2015</t>
  </si>
  <si>
    <t>Рец. 378 СРБ для ООУ Тутельян В.А. 2015</t>
  </si>
  <si>
    <t>Рец. 338 СРБ для ООУ Тутельян В.А. 2015</t>
  </si>
  <si>
    <t>Рец. 22 Сб. рецептур Кучма В.Р. 2016</t>
  </si>
  <si>
    <t>Рец. 96 СРБ для ООУ Тутельян В.А. 2015</t>
  </si>
  <si>
    <t>Рец. 311 Сб. рецептур Кучма В.Р. 2016</t>
  </si>
  <si>
    <t>Рец. 304 СРБ для ООУ Тутельян В. А. 2015</t>
  </si>
  <si>
    <t>Рец. 19 Сб. рецептур Кучма В.Р. 2016</t>
  </si>
  <si>
    <t>Рец. 18 Сб. рецептур Кучма В.Р. 2016</t>
  </si>
  <si>
    <t>Неделя 1 
День 2</t>
  </si>
  <si>
    <t>Рец. 210 СРБ для ООУ Тутельян В.А. 2015</t>
  </si>
  <si>
    <t>Рец. 1 СРБ для ООУ Тутельян В.А. 2015</t>
  </si>
  <si>
    <t>Рец. 379 СРБ для ООУ Тутельян В.А. 2015</t>
  </si>
  <si>
    <t>Рец. 102 СРБ для ООУ Тутельян В.А. 2015</t>
  </si>
  <si>
    <t>Рец. 259 СРБ для ООУ Тутельян В.А. 2015</t>
  </si>
  <si>
    <t>Рец. 349 СРБ для ООУ Тутельян В.А. 2015</t>
  </si>
  <si>
    <t>Неделя 1 
День 3</t>
  </si>
  <si>
    <t>Рец. 376 СРБ для ООУ Тутельян В.А. 2015</t>
  </si>
  <si>
    <t>Рец. 97 СРБ для ООУ Тутельян В.А. 2015</t>
  </si>
  <si>
    <t>Рец. 294 СРБ для ООУ Тутелья В.А. 2015</t>
  </si>
  <si>
    <t>Рец. 312 СРБ для ООУ Тутельян В.А. 2015</t>
  </si>
  <si>
    <t>Неделя 1 
День 4</t>
  </si>
  <si>
    <t>Рец. 222 СРБ для ООУ Тутельян В.А. 2015</t>
  </si>
  <si>
    <t>Рец. 382 СРБ для ООУ Тутельян В.А. 2015</t>
  </si>
  <si>
    <t>Рец. 47 СРБ для ООУ Тутельян В.А. 2015</t>
  </si>
  <si>
    <t>Рец. 150 Сб. рецептур Кучма В.Р. 2016</t>
  </si>
  <si>
    <t>Рец. 255 СРБ для ООУ Тутельян В.А. 2015</t>
  </si>
  <si>
    <t>Рец. 309 СРБ для ООУ Тутельян В.А. 2015</t>
  </si>
  <si>
    <t>Рец. 342 СРБ для ООУ Тутельян В.А. 2015</t>
  </si>
  <si>
    <t>Неделя 1
День 5</t>
  </si>
  <si>
    <t>Рец. 1, 3 СРБ для ООУ Тутельян В.А. 2015</t>
  </si>
  <si>
    <t>Рец. 82 СРБ для ООУ Тутельян В.А. 2015</t>
  </si>
  <si>
    <t>Рец. 302 СРБ для ООУ Тутельян В.А. 2015</t>
  </si>
  <si>
    <t>Неделя 2 
День 6</t>
  </si>
  <si>
    <t>Рец. 242 Сб. рецептур Кучма В.Р. 2016</t>
  </si>
  <si>
    <t>Рец 1, 3 СРБ для ООУ Тутельян В.А. 2015</t>
  </si>
  <si>
    <t>Рец. 99 СРБ для ООУ Тутельян В.А. 2015</t>
  </si>
  <si>
    <t>Рец. 310 СРБ для ООУ Тутельян В.А. 2015</t>
  </si>
  <si>
    <t>Неделя 2
День 7</t>
  </si>
  <si>
    <t>Рец. 52 СРБ для ООУ Тутельян В.А. 2015</t>
  </si>
  <si>
    <t>Рец. 271 СРБ для ООУ Тутельян В.А. 2015</t>
  </si>
  <si>
    <t>Неделя 2
День 8</t>
  </si>
  <si>
    <t>Неделя 2
День 9</t>
  </si>
  <si>
    <t>Рец. 223 СРБ для ООУ Тутельян В.А. 2015</t>
  </si>
  <si>
    <t>Рец. 36 Сб. рецептур Кучма В.Р. 2016</t>
  </si>
  <si>
    <t>Рец. 234 СРБ для ООУ Тутельян В.А. 2015</t>
  </si>
  <si>
    <t>Неделя 2
День 10</t>
  </si>
  <si>
    <t>Рец. 291 СРБ для ООУ Тутельян В.А. 2015</t>
  </si>
  <si>
    <t>Рец. 424 СРБ для ООУ Тутельян В.А. 2015</t>
  </si>
  <si>
    <t>Компот плодовый</t>
  </si>
  <si>
    <t>Каша пшенная</t>
  </si>
  <si>
    <t>Кисель из яблок свежих</t>
  </si>
  <si>
    <t>Соус молочный сладкий</t>
  </si>
  <si>
    <t>Каша рисовая молочная</t>
  </si>
  <si>
    <t>Соус из повидла</t>
  </si>
  <si>
    <t>Каша "Дружба" молочная</t>
  </si>
  <si>
    <t>Суп с вермишелью на курином бульоне</t>
  </si>
  <si>
    <t>Макароны отварные с сыром</t>
  </si>
  <si>
    <t>Рец. 204 СРБ для ООУ Тутельян В.А. 2015</t>
  </si>
  <si>
    <t>Рассольник ленинградский с курицей и сметаной</t>
  </si>
  <si>
    <t>Рец. 344 СРБ для ООУ Тутельян В. А. 2015</t>
  </si>
  <si>
    <t>Рец. 73 СРБ для ООУ Тутельян В.А. 2015</t>
  </si>
  <si>
    <t>Котлета рубленая из птицы</t>
  </si>
  <si>
    <t>Рец. 352 СРБ для ООУ Тутельян В.А. 2015</t>
  </si>
  <si>
    <t>Пудинг из творога запеченый</t>
  </si>
  <si>
    <t>Рец. 327 СРБ для ООУ Тутельян В.А. 2015</t>
  </si>
  <si>
    <t>Рец. 174 СРБ для ООУ Тутельян В.А. 2015</t>
  </si>
  <si>
    <t>Рец. 260 СРБ для ООУ Тутельян В.А, 2015</t>
  </si>
  <si>
    <t>Рец. 175 СРБ для ООУ Тутельян В.А. 2015</t>
  </si>
  <si>
    <t>Рец. 260 СРБ для ООУ Тутельян В.А. 2015</t>
  </si>
  <si>
    <t>Рец. 103 СРБ для ООУ Тутельян В.А. 2015</t>
  </si>
  <si>
    <t>Борщ на мясном бульоне со сметаной</t>
  </si>
  <si>
    <t>Итого среднее значение за десять дней</t>
  </si>
  <si>
    <t>Итого за первый день</t>
  </si>
  <si>
    <t>Итого за второй день</t>
  </si>
  <si>
    <t>Итого за третий день</t>
  </si>
  <si>
    <t>Итого за четвертый день</t>
  </si>
  <si>
    <t>Итого за пятый день</t>
  </si>
  <si>
    <t>Итого за шестой день</t>
  </si>
  <si>
    <t>Итого за седьмой день</t>
  </si>
  <si>
    <t>Итого за восьмой день</t>
  </si>
  <si>
    <t>Итого за девятый день</t>
  </si>
  <si>
    <t>Итого за десятый день</t>
  </si>
  <si>
    <t>Горошек зеленый консервир.</t>
  </si>
  <si>
    <t>Рец. 360 СРБ для ООУ Тутельян В.А. 2015</t>
  </si>
  <si>
    <t>На день</t>
  </si>
  <si>
    <t>Аскорбиновая кислота</t>
  </si>
  <si>
    <t>Итого среднее значение за пять дней</t>
  </si>
  <si>
    <t>Горошек зеленый консервир. //
Помидор свежий</t>
  </si>
  <si>
    <t>Огурец соленый //
Огурец свежий</t>
  </si>
  <si>
    <t>Икра кабачковая //
Салат из моркови с растит. маслом</t>
  </si>
  <si>
    <t>Салат из квашеной капусты //
Огурец свежий</t>
  </si>
  <si>
    <t>Салат из свеклы отварной с растительным маслом</t>
  </si>
  <si>
    <t>Горошек зеленый конс. //
Помидор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</si>
</sst>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mbria"/>
      <family val="1"/>
      <charset val="204"/>
      <scheme val="major"/>
    </font>
    <font>
      <b/>
      <i/>
      <sz val="14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name val="Arial"/>
      <family val="2"/>
      <charset val="204"/>
    </font>
    <font>
      <i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2" fillId="0" borderId="2" xfId="0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2" fontId="7" fillId="0" borderId="2" xfId="3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1" applyNumberFormat="1" applyFont="1" applyFill="1" applyBorder="1" applyAlignment="1">
      <alignment horizontal="left" vertical="center" wrapText="1"/>
    </xf>
    <xf numFmtId="1" fontId="7" fillId="0" borderId="0" xfId="1" applyNumberFormat="1" applyFont="1" applyFill="1" applyBorder="1" applyAlignment="1">
      <alignment horizontal="center" vertical="center"/>
    </xf>
    <xf numFmtId="2" fontId="7" fillId="0" borderId="0" xfId="3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1" fontId="7" fillId="0" borderId="2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2" fontId="5" fillId="0" borderId="2" xfId="1" applyNumberFormat="1" applyFont="1" applyFill="1" applyBorder="1" applyAlignment="1">
      <alignment horizontal="center" vertical="center"/>
    </xf>
    <xf numFmtId="2" fontId="5" fillId="0" borderId="2" xfId="1" applyNumberFormat="1" applyFont="1" applyFill="1" applyBorder="1" applyAlignment="1">
      <alignment horizontal="center" vertical="center" wrapText="1"/>
    </xf>
    <xf numFmtId="2" fontId="7" fillId="0" borderId="2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2" fontId="7" fillId="0" borderId="2" xfId="2" applyNumberFormat="1" applyFont="1" applyFill="1" applyBorder="1" applyAlignment="1">
      <alignment horizontal="right" vertical="center"/>
    </xf>
    <xf numFmtId="10" fontId="2" fillId="0" borderId="0" xfId="0" applyNumberFormat="1" applyFont="1" applyFill="1" applyBorder="1" applyAlignment="1">
      <alignment vertical="center"/>
    </xf>
    <xf numFmtId="2" fontId="7" fillId="0" borderId="1" xfId="1" applyNumberFormat="1" applyFont="1" applyFill="1" applyBorder="1" applyAlignment="1">
      <alignment horizontal="right" vertical="center"/>
    </xf>
    <xf numFmtId="0" fontId="7" fillId="0" borderId="6" xfId="1" applyNumberFormat="1" applyFont="1" applyFill="1" applyBorder="1" applyAlignment="1">
      <alignment horizontal="left" vertical="center" wrapText="1"/>
    </xf>
    <xf numFmtId="1" fontId="7" fillId="0" borderId="6" xfId="1" applyNumberFormat="1" applyFont="1" applyFill="1" applyBorder="1" applyAlignment="1">
      <alignment horizontal="center" vertical="center"/>
    </xf>
    <xf numFmtId="2" fontId="7" fillId="0" borderId="0" xfId="1" applyNumberFormat="1" applyFont="1" applyFill="1" applyBorder="1" applyAlignment="1">
      <alignment horizontal="right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0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9" fontId="2" fillId="0" borderId="0" xfId="0" applyNumberFormat="1" applyFont="1" applyFill="1" applyAlignment="1">
      <alignment vertical="center"/>
    </xf>
    <xf numFmtId="164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2" fontId="5" fillId="0" borderId="3" xfId="1" applyNumberFormat="1" applyFont="1" applyFill="1" applyBorder="1" applyAlignment="1">
      <alignment horizontal="center" vertical="center"/>
    </xf>
    <xf numFmtId="2" fontId="5" fillId="0" borderId="4" xfId="1" applyNumberFormat="1" applyFont="1" applyFill="1" applyBorder="1" applyAlignment="1">
      <alignment horizontal="center" vertical="center" wrapText="1"/>
    </xf>
    <xf numFmtId="2" fontId="5" fillId="0" borderId="6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" fontId="3" fillId="2" borderId="7" xfId="1" applyNumberFormat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/>
    </xf>
    <xf numFmtId="2" fontId="7" fillId="0" borderId="7" xfId="1" applyNumberFormat="1" applyFont="1" applyFill="1" applyBorder="1" applyAlignment="1">
      <alignment horizontal="center" vertical="center"/>
    </xf>
    <xf numFmtId="2" fontId="7" fillId="0" borderId="3" xfId="1" applyNumberFormat="1" applyFont="1" applyFill="1" applyBorder="1" applyAlignment="1">
      <alignment horizontal="center" vertical="center"/>
    </xf>
    <xf numFmtId="2" fontId="7" fillId="0" borderId="4" xfId="1" applyNumberFormat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Лист3_1" xfId="1"/>
    <cellStyle name="Обычный_Меню 7-10 (СанПиН)" xfId="2"/>
    <cellStyle name="Обычный_Меню школы (7-10 лет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8"/>
  <sheetViews>
    <sheetView view="pageBreakPreview" topLeftCell="A277" zoomScale="85" zoomScaleNormal="85" zoomScaleSheetLayoutView="85" workbookViewId="0">
      <selection activeCell="A303" sqref="A303:XFD303"/>
    </sheetView>
  </sheetViews>
  <sheetFormatPr defaultRowHeight="14.25"/>
  <cols>
    <col min="1" max="1" width="15.140625" style="16" customWidth="1"/>
    <col min="2" max="2" width="35.28515625" style="16" customWidth="1"/>
    <col min="3" max="3" width="9.140625" style="30"/>
    <col min="4" max="4" width="10.42578125" style="33" customWidth="1"/>
    <col min="5" max="5" width="10" style="33" customWidth="1"/>
    <col min="6" max="6" width="10.7109375" style="33" customWidth="1"/>
    <col min="7" max="7" width="10.85546875" style="33" customWidth="1"/>
    <col min="8" max="8" width="40.7109375" style="16" customWidth="1"/>
    <col min="9" max="16384" width="9.140625" style="16"/>
  </cols>
  <sheetData>
    <row r="1" spans="1:8" ht="39.950000000000003" customHeight="1">
      <c r="A1" s="60" t="s">
        <v>47</v>
      </c>
      <c r="B1" s="61"/>
      <c r="C1" s="61"/>
      <c r="D1" s="61"/>
      <c r="E1" s="61"/>
      <c r="F1" s="61"/>
      <c r="G1" s="61"/>
      <c r="H1" s="62"/>
    </row>
    <row r="2" spans="1:8" ht="15.95" customHeight="1">
      <c r="A2" s="44" t="s">
        <v>38</v>
      </c>
      <c r="B2" s="45" t="s">
        <v>48</v>
      </c>
      <c r="C2" s="46" t="s">
        <v>39</v>
      </c>
      <c r="D2" s="53" t="s">
        <v>40</v>
      </c>
      <c r="E2" s="54"/>
      <c r="F2" s="55"/>
      <c r="G2" s="56" t="s">
        <v>41</v>
      </c>
      <c r="H2" s="58" t="s">
        <v>42</v>
      </c>
    </row>
    <row r="3" spans="1:8" ht="30" customHeight="1">
      <c r="A3" s="44"/>
      <c r="B3" s="45"/>
      <c r="C3" s="47"/>
      <c r="D3" s="17" t="s">
        <v>43</v>
      </c>
      <c r="E3" s="17" t="s">
        <v>44</v>
      </c>
      <c r="F3" s="18" t="s">
        <v>49</v>
      </c>
      <c r="G3" s="57"/>
      <c r="H3" s="59"/>
    </row>
    <row r="4" spans="1:8" ht="15.95" customHeight="1">
      <c r="A4" s="40" t="s">
        <v>0</v>
      </c>
      <c r="B4" s="5" t="s">
        <v>108</v>
      </c>
      <c r="C4" s="15">
        <v>200</v>
      </c>
      <c r="D4" s="7">
        <v>6.1929999999999996</v>
      </c>
      <c r="E4" s="7">
        <v>7.9290000000000003</v>
      </c>
      <c r="F4" s="7">
        <v>46.22</v>
      </c>
      <c r="G4" s="7">
        <v>288.81</v>
      </c>
      <c r="H4" s="1" t="s">
        <v>109</v>
      </c>
    </row>
    <row r="5" spans="1:8" ht="15.95" customHeight="1">
      <c r="A5" s="41"/>
      <c r="B5" s="5" t="s">
        <v>13</v>
      </c>
      <c r="C5" s="15">
        <v>40</v>
      </c>
      <c r="D5" s="7">
        <f>1.95*40/35</f>
        <v>2.2285714285714286</v>
      </c>
      <c r="E5" s="7">
        <f>6.475*40/35</f>
        <v>7.4</v>
      </c>
      <c r="F5" s="7">
        <v>15.66</v>
      </c>
      <c r="G5" s="7">
        <f>84.3*40/35</f>
        <v>96.342857142857142</v>
      </c>
      <c r="H5" s="1" t="s">
        <v>62</v>
      </c>
    </row>
    <row r="6" spans="1:8" ht="15.95" customHeight="1">
      <c r="A6" s="41"/>
      <c r="B6" s="5" t="s">
        <v>17</v>
      </c>
      <c r="C6" s="15">
        <v>200</v>
      </c>
      <c r="D6" s="7">
        <v>6.9999999999999999E-4</v>
      </c>
      <c r="E6" s="7">
        <v>0</v>
      </c>
      <c r="F6" s="7">
        <v>7.0350000000000001</v>
      </c>
      <c r="G6" s="7">
        <v>28.126000000000001</v>
      </c>
      <c r="H6" s="1" t="s">
        <v>68</v>
      </c>
    </row>
    <row r="7" spans="1:8" ht="15.95" customHeight="1">
      <c r="A7" s="41"/>
      <c r="B7" s="5" t="s">
        <v>2</v>
      </c>
      <c r="C7" s="15">
        <v>100</v>
      </c>
      <c r="D7" s="19">
        <v>1</v>
      </c>
      <c r="E7" s="19">
        <v>0.4</v>
      </c>
      <c r="F7" s="19">
        <v>15.4</v>
      </c>
      <c r="G7" s="19">
        <v>71.5</v>
      </c>
      <c r="H7" s="1" t="s">
        <v>53</v>
      </c>
    </row>
    <row r="8" spans="1:8" s="20" customFormat="1" ht="15.95" customHeight="1">
      <c r="A8" s="42" t="s">
        <v>45</v>
      </c>
      <c r="B8" s="43"/>
      <c r="C8" s="3">
        <f>SUM(C4:C7)</f>
        <v>540</v>
      </c>
      <c r="D8" s="4">
        <f>SUM(D4:D7)</f>
        <v>9.4222714285714293</v>
      </c>
      <c r="E8" s="4">
        <f>SUM(E4:E7)</f>
        <v>15.729000000000001</v>
      </c>
      <c r="F8" s="4">
        <f>SUM(F4:F7)</f>
        <v>84.314999999999998</v>
      </c>
      <c r="G8" s="4">
        <f>SUM(G4:G7)</f>
        <v>484.77885714285713</v>
      </c>
      <c r="H8" s="6"/>
    </row>
    <row r="9" spans="1:8" ht="32.1" customHeight="1">
      <c r="A9" s="40" t="s">
        <v>3</v>
      </c>
      <c r="B9" s="5" t="s">
        <v>139</v>
      </c>
      <c r="C9" s="15">
        <v>60</v>
      </c>
      <c r="D9" s="19">
        <v>1.43</v>
      </c>
      <c r="E9" s="19">
        <v>0.19500000000000001</v>
      </c>
      <c r="F9" s="19">
        <v>5.5250000000000004</v>
      </c>
      <c r="G9" s="19">
        <v>24.7</v>
      </c>
      <c r="H9" s="1" t="s">
        <v>54</v>
      </c>
    </row>
    <row r="10" spans="1:8" ht="32.1" customHeight="1">
      <c r="A10" s="41"/>
      <c r="B10" s="5" t="s">
        <v>110</v>
      </c>
      <c r="C10" s="15">
        <v>200</v>
      </c>
      <c r="D10" s="7">
        <v>6.1661999999999999</v>
      </c>
      <c r="E10" s="7">
        <v>6.46</v>
      </c>
      <c r="F10" s="7">
        <v>17.05</v>
      </c>
      <c r="G10" s="7">
        <v>167.80600000000001</v>
      </c>
      <c r="H10" s="1" t="s">
        <v>55</v>
      </c>
    </row>
    <row r="11" spans="1:8" ht="15.95" customHeight="1">
      <c r="A11" s="41"/>
      <c r="B11" s="5" t="s">
        <v>10</v>
      </c>
      <c r="C11" s="15">
        <v>90</v>
      </c>
      <c r="D11" s="21">
        <v>15.9741</v>
      </c>
      <c r="E11" s="21">
        <v>16.8977</v>
      </c>
      <c r="F11" s="21">
        <v>8.6813000000000002</v>
      </c>
      <c r="G11" s="21">
        <v>285.19099999999997</v>
      </c>
      <c r="H11" s="1" t="s">
        <v>56</v>
      </c>
    </row>
    <row r="12" spans="1:8" ht="15.95" customHeight="1">
      <c r="A12" s="41"/>
      <c r="B12" s="5" t="s">
        <v>11</v>
      </c>
      <c r="C12" s="15">
        <v>150</v>
      </c>
      <c r="D12" s="7">
        <v>3.7305000000000001</v>
      </c>
      <c r="E12" s="7">
        <v>5.24</v>
      </c>
      <c r="F12" s="7">
        <v>39.256</v>
      </c>
      <c r="G12" s="7">
        <v>183.15</v>
      </c>
      <c r="H12" s="1" t="s">
        <v>57</v>
      </c>
    </row>
    <row r="13" spans="1:8" ht="15.95" customHeight="1">
      <c r="A13" s="41"/>
      <c r="B13" s="5" t="s">
        <v>100</v>
      </c>
      <c r="C13" s="15">
        <v>200</v>
      </c>
      <c r="D13" s="7">
        <v>0.9</v>
      </c>
      <c r="E13" s="7">
        <v>0.08</v>
      </c>
      <c r="F13" s="7">
        <v>7.0488</v>
      </c>
      <c r="G13" s="7">
        <v>36.143999999999998</v>
      </c>
      <c r="H13" s="1" t="s">
        <v>111</v>
      </c>
    </row>
    <row r="14" spans="1:8" ht="15.95" customHeight="1">
      <c r="A14" s="41"/>
      <c r="B14" s="5" t="s">
        <v>4</v>
      </c>
      <c r="C14" s="15">
        <v>48</v>
      </c>
      <c r="D14" s="7">
        <v>3.7349999999999999</v>
      </c>
      <c r="E14" s="7">
        <v>0.67500000000000004</v>
      </c>
      <c r="F14" s="7">
        <v>21.645</v>
      </c>
      <c r="G14" s="7">
        <v>116.55</v>
      </c>
      <c r="H14" s="1" t="s">
        <v>58</v>
      </c>
    </row>
    <row r="15" spans="1:8" ht="15.95" customHeight="1">
      <c r="A15" s="41"/>
      <c r="B15" s="5" t="s">
        <v>1</v>
      </c>
      <c r="C15" s="15">
        <v>50</v>
      </c>
      <c r="D15" s="7">
        <v>3.7999999999999994</v>
      </c>
      <c r="E15" s="7">
        <v>0.45</v>
      </c>
      <c r="F15" s="7">
        <v>24.75</v>
      </c>
      <c r="G15" s="7">
        <v>135</v>
      </c>
      <c r="H15" s="1" t="s">
        <v>59</v>
      </c>
    </row>
    <row r="16" spans="1:8" s="20" customFormat="1" ht="15.95" customHeight="1">
      <c r="A16" s="42" t="s">
        <v>46</v>
      </c>
      <c r="B16" s="43"/>
      <c r="C16" s="3">
        <f>SUM(C9:C15)</f>
        <v>798</v>
      </c>
      <c r="D16" s="4">
        <f>SUM(D9:D15)</f>
        <v>35.735799999999998</v>
      </c>
      <c r="E16" s="4">
        <f>SUM(E9:E15)</f>
        <v>29.997700000000002</v>
      </c>
      <c r="F16" s="4">
        <f>SUM(F9:F15)</f>
        <v>123.95610000000001</v>
      </c>
      <c r="G16" s="4">
        <f>SUM(G9:G15)</f>
        <v>948.54099999999994</v>
      </c>
      <c r="H16" s="6"/>
    </row>
    <row r="17" spans="1:8" s="20" customFormat="1" ht="15.95" customHeight="1">
      <c r="A17" s="51" t="s">
        <v>136</v>
      </c>
      <c r="B17" s="5" t="s">
        <v>9</v>
      </c>
      <c r="C17" s="35">
        <v>1.8</v>
      </c>
      <c r="D17" s="19">
        <v>0</v>
      </c>
      <c r="E17" s="19">
        <v>0</v>
      </c>
      <c r="F17" s="19">
        <v>0</v>
      </c>
      <c r="G17" s="19">
        <v>0</v>
      </c>
      <c r="H17" s="6"/>
    </row>
    <row r="18" spans="1:8" s="20" customFormat="1" ht="15.95" customHeight="1">
      <c r="A18" s="52"/>
      <c r="B18" s="5" t="s">
        <v>137</v>
      </c>
      <c r="C18" s="36">
        <v>0.06</v>
      </c>
      <c r="D18" s="19">
        <f>0.0006/10</f>
        <v>5.9999999999999995E-5</v>
      </c>
      <c r="E18" s="19">
        <f>0.0006/10</f>
        <v>5.9999999999999995E-5</v>
      </c>
      <c r="F18" s="19">
        <f>0.57468/10</f>
        <v>5.7467999999999998E-2</v>
      </c>
      <c r="G18" s="19">
        <f>1.39038/10</f>
        <v>0.13903799999999999</v>
      </c>
      <c r="H18" s="6"/>
    </row>
    <row r="19" spans="1:8" ht="15.95" customHeight="1">
      <c r="A19" s="48" t="s">
        <v>124</v>
      </c>
      <c r="B19" s="49"/>
      <c r="C19" s="50"/>
      <c r="D19" s="4">
        <f>D8+D16+D17+D18</f>
        <v>45.158131428571423</v>
      </c>
      <c r="E19" s="4">
        <f>E8+E16+E17+E18</f>
        <v>45.726759999999999</v>
      </c>
      <c r="F19" s="4">
        <f>F8+F16+F17+F18</f>
        <v>208.32856799999999</v>
      </c>
      <c r="G19" s="4">
        <f>G8+G16+G17+G18</f>
        <v>1433.458895142857</v>
      </c>
      <c r="H19" s="1"/>
    </row>
    <row r="20" spans="1:8" ht="15.95" customHeight="1">
      <c r="A20" s="9"/>
      <c r="B20" s="9"/>
      <c r="C20" s="13"/>
      <c r="D20" s="14"/>
      <c r="E20" s="14"/>
      <c r="F20" s="14"/>
      <c r="G20" s="14"/>
      <c r="H20" s="8"/>
    </row>
    <row r="21" spans="1:8" ht="15.95" customHeight="1">
      <c r="A21" s="9"/>
      <c r="B21" s="9"/>
      <c r="C21" s="13"/>
      <c r="D21" s="14"/>
      <c r="E21" s="14"/>
      <c r="F21" s="14"/>
      <c r="G21" s="14"/>
      <c r="H21" s="8"/>
    </row>
    <row r="22" spans="1:8" ht="15.95" customHeight="1">
      <c r="A22" s="9"/>
      <c r="B22" s="9"/>
      <c r="C22" s="13"/>
      <c r="D22" s="14"/>
      <c r="E22" s="14"/>
      <c r="F22" s="14"/>
      <c r="G22" s="14"/>
      <c r="H22" s="8"/>
    </row>
    <row r="23" spans="1:8" ht="15.95" customHeight="1">
      <c r="A23" s="9"/>
      <c r="B23" s="9"/>
      <c r="C23" s="13"/>
      <c r="D23" s="14"/>
      <c r="E23" s="14"/>
      <c r="F23" s="14"/>
      <c r="G23" s="14"/>
      <c r="H23" s="8"/>
    </row>
    <row r="24" spans="1:8" ht="15.95" customHeight="1">
      <c r="A24" s="9"/>
      <c r="B24" s="9"/>
      <c r="C24" s="13"/>
      <c r="D24" s="22"/>
      <c r="E24" s="22"/>
      <c r="F24" s="22"/>
      <c r="G24" s="22"/>
      <c r="H24" s="8"/>
    </row>
    <row r="25" spans="1:8" ht="15.95" customHeight="1">
      <c r="A25" s="9"/>
      <c r="B25" s="9"/>
      <c r="C25" s="13"/>
      <c r="D25" s="22"/>
      <c r="E25" s="22"/>
      <c r="F25" s="22"/>
      <c r="G25" s="22"/>
      <c r="H25" s="8"/>
    </row>
    <row r="26" spans="1:8" ht="15.95" customHeight="1">
      <c r="A26" s="9"/>
      <c r="B26" s="9"/>
      <c r="C26" s="13"/>
      <c r="D26" s="14"/>
      <c r="E26" s="14"/>
      <c r="F26" s="14"/>
      <c r="G26" s="14"/>
      <c r="H26" s="8"/>
    </row>
    <row r="27" spans="1:8" ht="15.95" customHeight="1">
      <c r="A27" s="9"/>
      <c r="B27" s="13"/>
      <c r="C27" s="13"/>
      <c r="D27" s="14"/>
      <c r="E27" s="14"/>
      <c r="F27" s="14"/>
      <c r="G27" s="14"/>
      <c r="H27" s="8"/>
    </row>
    <row r="28" spans="1:8" ht="15.95" customHeight="1">
      <c r="A28" s="9"/>
      <c r="B28" s="9"/>
      <c r="C28" s="13"/>
      <c r="D28" s="14"/>
      <c r="E28" s="14"/>
      <c r="F28" s="14"/>
      <c r="G28" s="14"/>
      <c r="H28" s="8"/>
    </row>
    <row r="29" spans="1:8" ht="15.95" customHeight="1">
      <c r="A29" s="9"/>
      <c r="B29" s="9"/>
      <c r="C29" s="13"/>
      <c r="D29" s="14"/>
      <c r="E29" s="14"/>
      <c r="F29" s="14"/>
      <c r="G29" s="14"/>
      <c r="H29" s="8">
        <v>2</v>
      </c>
    </row>
    <row r="30" spans="1:8" ht="15.95" customHeight="1">
      <c r="A30" s="9"/>
      <c r="B30" s="9"/>
      <c r="C30" s="13"/>
      <c r="D30" s="14"/>
      <c r="E30" s="14"/>
      <c r="F30" s="14"/>
      <c r="G30" s="14"/>
      <c r="H30" s="8"/>
    </row>
    <row r="31" spans="1:8" ht="39.950000000000003" customHeight="1">
      <c r="A31" s="60" t="s">
        <v>60</v>
      </c>
      <c r="B31" s="61"/>
      <c r="C31" s="61"/>
      <c r="D31" s="61"/>
      <c r="E31" s="61"/>
      <c r="F31" s="61"/>
      <c r="G31" s="61"/>
      <c r="H31" s="62"/>
    </row>
    <row r="32" spans="1:8" ht="15.95" customHeight="1">
      <c r="A32" s="44" t="s">
        <v>38</v>
      </c>
      <c r="B32" s="45" t="s">
        <v>48</v>
      </c>
      <c r="C32" s="46" t="s">
        <v>39</v>
      </c>
      <c r="D32" s="53" t="s">
        <v>40</v>
      </c>
      <c r="E32" s="54"/>
      <c r="F32" s="55"/>
      <c r="G32" s="56" t="s">
        <v>41</v>
      </c>
      <c r="H32" s="58" t="s">
        <v>42</v>
      </c>
    </row>
    <row r="33" spans="1:8" ht="30" customHeight="1">
      <c r="A33" s="44"/>
      <c r="B33" s="45"/>
      <c r="C33" s="47"/>
      <c r="D33" s="17" t="s">
        <v>43</v>
      </c>
      <c r="E33" s="17" t="s">
        <v>44</v>
      </c>
      <c r="F33" s="18" t="s">
        <v>49</v>
      </c>
      <c r="G33" s="57"/>
      <c r="H33" s="59"/>
    </row>
    <row r="34" spans="1:8" ht="15.95" customHeight="1">
      <c r="A34" s="40" t="s">
        <v>0</v>
      </c>
      <c r="B34" s="5" t="s">
        <v>12</v>
      </c>
      <c r="C34" s="15">
        <v>150</v>
      </c>
      <c r="D34" s="7">
        <v>11.006</v>
      </c>
      <c r="E34" s="7">
        <v>12.167</v>
      </c>
      <c r="F34" s="7">
        <v>10.029999999999999</v>
      </c>
      <c r="G34" s="7">
        <v>194.95</v>
      </c>
      <c r="H34" s="1" t="s">
        <v>61</v>
      </c>
    </row>
    <row r="35" spans="1:8" ht="15.95" customHeight="1">
      <c r="A35" s="41"/>
      <c r="B35" s="5" t="s">
        <v>134</v>
      </c>
      <c r="C35" s="15">
        <v>30</v>
      </c>
      <c r="D35" s="7">
        <v>0.77</v>
      </c>
      <c r="E35" s="7">
        <v>0.105</v>
      </c>
      <c r="F35" s="7">
        <v>2.9750000000000001</v>
      </c>
      <c r="G35" s="7">
        <v>13.3</v>
      </c>
      <c r="H35" s="1" t="s">
        <v>54</v>
      </c>
    </row>
    <row r="36" spans="1:8" ht="15.95" customHeight="1">
      <c r="A36" s="41"/>
      <c r="B36" s="5" t="s">
        <v>7</v>
      </c>
      <c r="C36" s="15">
        <v>40</v>
      </c>
      <c r="D36" s="7">
        <v>4.58</v>
      </c>
      <c r="E36" s="7">
        <v>4.17</v>
      </c>
      <c r="F36" s="7">
        <v>13.85</v>
      </c>
      <c r="G36" s="7">
        <v>117.4</v>
      </c>
      <c r="H36" s="1" t="s">
        <v>51</v>
      </c>
    </row>
    <row r="37" spans="1:8" ht="15.95" customHeight="1">
      <c r="A37" s="41"/>
      <c r="B37" s="5" t="s">
        <v>2</v>
      </c>
      <c r="C37" s="15">
        <v>100</v>
      </c>
      <c r="D37" s="19">
        <v>1</v>
      </c>
      <c r="E37" s="19">
        <v>0.4</v>
      </c>
      <c r="F37" s="19">
        <v>15.4</v>
      </c>
      <c r="G37" s="23">
        <v>71.5</v>
      </c>
      <c r="H37" s="1" t="s">
        <v>53</v>
      </c>
    </row>
    <row r="38" spans="1:8" ht="15.95" customHeight="1">
      <c r="A38" s="41"/>
      <c r="B38" s="5" t="s">
        <v>14</v>
      </c>
      <c r="C38" s="15">
        <v>200</v>
      </c>
      <c r="D38" s="7">
        <v>1.736</v>
      </c>
      <c r="E38" s="7">
        <v>4.0204000000000004</v>
      </c>
      <c r="F38" s="7">
        <v>11.459</v>
      </c>
      <c r="G38" s="7">
        <v>84.846000000000004</v>
      </c>
      <c r="H38" s="1" t="s">
        <v>63</v>
      </c>
    </row>
    <row r="39" spans="1:8" ht="15.95" customHeight="1">
      <c r="A39" s="42" t="s">
        <v>45</v>
      </c>
      <c r="B39" s="43"/>
      <c r="C39" s="3">
        <f>SUM(C34:C38)</f>
        <v>520</v>
      </c>
      <c r="D39" s="4">
        <f>SUM(D34:D38)</f>
        <v>19.092000000000002</v>
      </c>
      <c r="E39" s="4">
        <f>SUM(E34:E38)</f>
        <v>20.862400000000001</v>
      </c>
      <c r="F39" s="4">
        <f>SUM(F34:F38)</f>
        <v>53.713999999999999</v>
      </c>
      <c r="G39" s="4">
        <f>SUM(G34:G38)</f>
        <v>481.99599999999998</v>
      </c>
      <c r="H39" s="2"/>
    </row>
    <row r="40" spans="1:8" ht="15.95" customHeight="1">
      <c r="A40" s="40" t="s">
        <v>3</v>
      </c>
      <c r="B40" s="24" t="s">
        <v>5</v>
      </c>
      <c r="C40" s="25">
        <v>60</v>
      </c>
      <c r="D40" s="7">
        <v>0.96</v>
      </c>
      <c r="E40" s="7">
        <v>3.78</v>
      </c>
      <c r="F40" s="7">
        <v>4.4400000000000004</v>
      </c>
      <c r="G40" s="7">
        <v>64.48</v>
      </c>
      <c r="H40" s="1" t="s">
        <v>112</v>
      </c>
    </row>
    <row r="41" spans="1:8" ht="15.95" customHeight="1">
      <c r="A41" s="41"/>
      <c r="B41" s="5" t="s">
        <v>15</v>
      </c>
      <c r="C41" s="15">
        <v>200</v>
      </c>
      <c r="D41" s="7">
        <v>5.0999999999999996</v>
      </c>
      <c r="E41" s="7">
        <v>5.556</v>
      </c>
      <c r="F41" s="7">
        <v>29.5075</v>
      </c>
      <c r="G41" s="7">
        <v>205.98</v>
      </c>
      <c r="H41" s="1" t="s">
        <v>64</v>
      </c>
    </row>
    <row r="42" spans="1:8" ht="15.95" customHeight="1">
      <c r="A42" s="41"/>
      <c r="B42" s="5" t="s">
        <v>37</v>
      </c>
      <c r="C42" s="15">
        <v>240</v>
      </c>
      <c r="D42" s="7">
        <v>13.23</v>
      </c>
      <c r="E42" s="7">
        <v>16.2804</v>
      </c>
      <c r="F42" s="7">
        <v>44.4161</v>
      </c>
      <c r="G42" s="7">
        <v>354.58</v>
      </c>
      <c r="H42" s="1" t="s">
        <v>65</v>
      </c>
    </row>
    <row r="43" spans="1:8" ht="15.95" customHeight="1">
      <c r="A43" s="41"/>
      <c r="B43" s="5" t="s">
        <v>16</v>
      </c>
      <c r="C43" s="15">
        <v>200</v>
      </c>
      <c r="D43" s="7">
        <v>0</v>
      </c>
      <c r="E43" s="7">
        <v>0</v>
      </c>
      <c r="F43" s="7">
        <v>11.231999999999999</v>
      </c>
      <c r="G43" s="7">
        <v>41.91</v>
      </c>
      <c r="H43" s="1" t="s">
        <v>66</v>
      </c>
    </row>
    <row r="44" spans="1:8" ht="15.95" customHeight="1">
      <c r="A44" s="41"/>
      <c r="B44" s="5" t="s">
        <v>4</v>
      </c>
      <c r="C44" s="15">
        <v>48</v>
      </c>
      <c r="D44" s="7">
        <v>3.7349999999999999</v>
      </c>
      <c r="E44" s="7">
        <v>0.67500000000000004</v>
      </c>
      <c r="F44" s="7">
        <v>21.645</v>
      </c>
      <c r="G44" s="7">
        <v>116.55</v>
      </c>
      <c r="H44" s="1" t="s">
        <v>58</v>
      </c>
    </row>
    <row r="45" spans="1:8" ht="15.95" customHeight="1">
      <c r="A45" s="41"/>
      <c r="B45" s="5" t="s">
        <v>1</v>
      </c>
      <c r="C45" s="15">
        <v>50</v>
      </c>
      <c r="D45" s="7">
        <v>3.7999999999999994</v>
      </c>
      <c r="E45" s="7">
        <v>0.45</v>
      </c>
      <c r="F45" s="7">
        <v>24.75</v>
      </c>
      <c r="G45" s="7">
        <v>135</v>
      </c>
      <c r="H45" s="1" t="s">
        <v>59</v>
      </c>
    </row>
    <row r="46" spans="1:8" ht="15.95" customHeight="1">
      <c r="A46" s="42" t="s">
        <v>46</v>
      </c>
      <c r="B46" s="43"/>
      <c r="C46" s="3">
        <f>SUM(C40:C45)</f>
        <v>798</v>
      </c>
      <c r="D46" s="4">
        <f>SUM(D40:D45)</f>
        <v>26.824999999999999</v>
      </c>
      <c r="E46" s="4">
        <f>SUM(E40:E45)</f>
        <v>26.741399999999999</v>
      </c>
      <c r="F46" s="4">
        <f>SUM(F40:F45)</f>
        <v>135.99059999999997</v>
      </c>
      <c r="G46" s="4">
        <f>SUM(G40:G45)</f>
        <v>918.49999999999989</v>
      </c>
      <c r="H46" s="6"/>
    </row>
    <row r="47" spans="1:8" ht="15.95" customHeight="1">
      <c r="A47" s="51" t="s">
        <v>136</v>
      </c>
      <c r="B47" s="5" t="s">
        <v>9</v>
      </c>
      <c r="C47" s="35">
        <v>1.8</v>
      </c>
      <c r="D47" s="19">
        <v>0</v>
      </c>
      <c r="E47" s="19">
        <v>0</v>
      </c>
      <c r="F47" s="19">
        <v>0</v>
      </c>
      <c r="G47" s="19">
        <v>0</v>
      </c>
      <c r="H47" s="6"/>
    </row>
    <row r="48" spans="1:8" ht="15.95" customHeight="1">
      <c r="A48" s="52"/>
      <c r="B48" s="5" t="s">
        <v>137</v>
      </c>
      <c r="C48" s="36">
        <v>0.06</v>
      </c>
      <c r="D48" s="19">
        <f>0.0006/10</f>
        <v>5.9999999999999995E-5</v>
      </c>
      <c r="E48" s="19">
        <f>0.0006/10</f>
        <v>5.9999999999999995E-5</v>
      </c>
      <c r="F48" s="19">
        <f>0.57468/10</f>
        <v>5.7467999999999998E-2</v>
      </c>
      <c r="G48" s="19">
        <f>1.39038/10</f>
        <v>0.13903799999999999</v>
      </c>
      <c r="H48" s="6"/>
    </row>
    <row r="49" spans="1:8" ht="15.95" customHeight="1">
      <c r="A49" s="48" t="s">
        <v>125</v>
      </c>
      <c r="B49" s="49"/>
      <c r="C49" s="50"/>
      <c r="D49" s="4">
        <f>D39+D46+D47+D48</f>
        <v>45.917059999999999</v>
      </c>
      <c r="E49" s="4">
        <f>E39+E46+E47+E48</f>
        <v>47.603859999999997</v>
      </c>
      <c r="F49" s="4">
        <f>F39+F46+F47+F48</f>
        <v>189.76206799999997</v>
      </c>
      <c r="G49" s="4">
        <f>G39+G46+G47+G48</f>
        <v>1400.6350379999999</v>
      </c>
      <c r="H49" s="1"/>
    </row>
    <row r="50" spans="1:8" ht="15.95" customHeight="1">
      <c r="A50" s="9"/>
      <c r="B50" s="9"/>
      <c r="C50" s="13"/>
      <c r="D50" s="14"/>
      <c r="E50" s="14"/>
      <c r="F50" s="14"/>
      <c r="G50" s="14"/>
      <c r="H50" s="8"/>
    </row>
    <row r="51" spans="1:8" ht="15.95" customHeight="1">
      <c r="A51" s="9"/>
      <c r="B51" s="9"/>
      <c r="C51" s="13"/>
      <c r="D51" s="14"/>
      <c r="E51" s="14"/>
      <c r="F51" s="14"/>
      <c r="G51" s="14"/>
      <c r="H51" s="8"/>
    </row>
    <row r="52" spans="1:8" ht="15.95" customHeight="1">
      <c r="A52" s="9"/>
      <c r="B52" s="9"/>
      <c r="C52" s="13"/>
      <c r="D52" s="14"/>
      <c r="E52" s="14"/>
      <c r="F52" s="14"/>
      <c r="G52" s="14"/>
      <c r="H52" s="8"/>
    </row>
    <row r="53" spans="1:8" ht="15.95" customHeight="1">
      <c r="A53" s="9"/>
      <c r="B53" s="9"/>
      <c r="C53" s="13"/>
      <c r="D53" s="14"/>
      <c r="E53" s="14"/>
      <c r="F53" s="14"/>
      <c r="G53" s="14"/>
      <c r="H53" s="8"/>
    </row>
    <row r="54" spans="1:8" ht="15.95" customHeight="1">
      <c r="A54" s="9"/>
      <c r="B54" s="9"/>
      <c r="C54" s="13"/>
      <c r="D54" s="14"/>
      <c r="E54" s="14"/>
      <c r="F54" s="14"/>
      <c r="G54" s="14"/>
      <c r="H54" s="8"/>
    </row>
    <row r="55" spans="1:8" ht="15.95" customHeight="1">
      <c r="A55" s="9"/>
      <c r="B55" s="9"/>
      <c r="C55" s="13"/>
      <c r="D55" s="22"/>
      <c r="E55" s="22"/>
      <c r="F55" s="22"/>
      <c r="G55" s="22"/>
      <c r="H55" s="8"/>
    </row>
    <row r="56" spans="1:8" ht="15.95" customHeight="1">
      <c r="A56" s="9"/>
      <c r="B56" s="9"/>
      <c r="C56" s="13"/>
      <c r="D56" s="14"/>
      <c r="E56" s="14"/>
      <c r="F56" s="14"/>
      <c r="G56" s="14"/>
      <c r="H56" s="8"/>
    </row>
    <row r="57" spans="1:8" ht="15.95" customHeight="1">
      <c r="A57" s="9"/>
      <c r="B57" s="9"/>
      <c r="C57" s="13"/>
      <c r="D57" s="14"/>
      <c r="E57" s="14"/>
      <c r="F57" s="14"/>
      <c r="G57" s="14"/>
      <c r="H57" s="8"/>
    </row>
    <row r="58" spans="1:8" ht="15.95" customHeight="1">
      <c r="A58" s="9"/>
      <c r="B58" s="9"/>
      <c r="C58" s="13"/>
      <c r="D58" s="14"/>
      <c r="E58" s="14"/>
      <c r="F58" s="14"/>
      <c r="G58" s="14"/>
      <c r="H58" s="8"/>
    </row>
    <row r="59" spans="1:8" ht="15.95" customHeight="1">
      <c r="A59" s="9"/>
      <c r="B59" s="9"/>
      <c r="C59" s="13"/>
      <c r="D59" s="14"/>
      <c r="E59" s="14"/>
      <c r="F59" s="14"/>
      <c r="G59" s="14"/>
      <c r="H59" s="8"/>
    </row>
    <row r="60" spans="1:8" ht="15.95" customHeight="1">
      <c r="A60" s="9"/>
      <c r="B60" s="9"/>
      <c r="C60" s="13"/>
      <c r="D60" s="14"/>
      <c r="E60" s="14"/>
      <c r="F60" s="14"/>
      <c r="G60" s="14"/>
      <c r="H60" s="8"/>
    </row>
    <row r="61" spans="1:8" ht="15.95" customHeight="1">
      <c r="A61" s="9"/>
      <c r="B61" s="9"/>
      <c r="C61" s="13"/>
      <c r="D61" s="14"/>
      <c r="E61" s="14"/>
      <c r="F61" s="14"/>
      <c r="G61" s="14"/>
      <c r="H61" s="8">
        <v>3</v>
      </c>
    </row>
    <row r="62" spans="1:8" ht="15.95" customHeight="1">
      <c r="A62" s="9"/>
      <c r="B62" s="9"/>
      <c r="C62" s="13"/>
      <c r="D62" s="14"/>
      <c r="E62" s="14"/>
      <c r="F62" s="14"/>
      <c r="G62" s="14"/>
      <c r="H62" s="8"/>
    </row>
    <row r="63" spans="1:8" ht="39.950000000000003" customHeight="1">
      <c r="A63" s="60" t="s">
        <v>67</v>
      </c>
      <c r="B63" s="61"/>
      <c r="C63" s="61"/>
      <c r="D63" s="61"/>
      <c r="E63" s="61"/>
      <c r="F63" s="61"/>
      <c r="G63" s="61"/>
      <c r="H63" s="62"/>
    </row>
    <row r="64" spans="1:8" ht="15.95" customHeight="1">
      <c r="A64" s="44" t="s">
        <v>38</v>
      </c>
      <c r="B64" s="45" t="s">
        <v>48</v>
      </c>
      <c r="C64" s="46" t="s">
        <v>39</v>
      </c>
      <c r="D64" s="53" t="s">
        <v>40</v>
      </c>
      <c r="E64" s="54"/>
      <c r="F64" s="55"/>
      <c r="G64" s="56" t="s">
        <v>41</v>
      </c>
      <c r="H64" s="58" t="s">
        <v>42</v>
      </c>
    </row>
    <row r="65" spans="1:8" ht="30" customHeight="1">
      <c r="A65" s="44"/>
      <c r="B65" s="45"/>
      <c r="C65" s="47"/>
      <c r="D65" s="17" t="s">
        <v>43</v>
      </c>
      <c r="E65" s="17" t="s">
        <v>44</v>
      </c>
      <c r="F65" s="18" t="s">
        <v>49</v>
      </c>
      <c r="G65" s="57"/>
      <c r="H65" s="59"/>
    </row>
    <row r="66" spans="1:8" ht="15.95" customHeight="1">
      <c r="A66" s="40" t="s">
        <v>0</v>
      </c>
      <c r="B66" s="5" t="s">
        <v>101</v>
      </c>
      <c r="C66" s="15">
        <v>200</v>
      </c>
      <c r="D66" s="7">
        <v>5.51</v>
      </c>
      <c r="E66" s="7">
        <v>6.48</v>
      </c>
      <c r="F66" s="7">
        <v>27.052</v>
      </c>
      <c r="G66" s="7">
        <v>170.27</v>
      </c>
      <c r="H66" s="1" t="s">
        <v>50</v>
      </c>
    </row>
    <row r="67" spans="1:8" ht="15.95" customHeight="1">
      <c r="A67" s="41"/>
      <c r="B67" s="5" t="s">
        <v>25</v>
      </c>
      <c r="C67" s="15">
        <v>50</v>
      </c>
      <c r="D67" s="7">
        <f>4.25*50/45</f>
        <v>4.7222222222222223</v>
      </c>
      <c r="E67" s="7">
        <f>9.38*50/45</f>
        <v>10.422222222222224</v>
      </c>
      <c r="F67" s="7">
        <v>18.39</v>
      </c>
      <c r="G67" s="7">
        <f>118.7*50/45</f>
        <v>131.88888888888889</v>
      </c>
      <c r="H67" s="1" t="s">
        <v>81</v>
      </c>
    </row>
    <row r="68" spans="1:8" ht="15.95" customHeight="1">
      <c r="A68" s="41"/>
      <c r="B68" s="5" t="s">
        <v>8</v>
      </c>
      <c r="C68" s="15">
        <v>200</v>
      </c>
      <c r="D68" s="7">
        <v>1.6105</v>
      </c>
      <c r="E68" s="7">
        <v>3.58</v>
      </c>
      <c r="F68" s="7">
        <v>11.250999999999999</v>
      </c>
      <c r="G68" s="7">
        <v>82.07</v>
      </c>
      <c r="H68" s="1" t="s">
        <v>52</v>
      </c>
    </row>
    <row r="69" spans="1:8" ht="15.95" customHeight="1">
      <c r="A69" s="41"/>
      <c r="B69" s="5" t="s">
        <v>2</v>
      </c>
      <c r="C69" s="15">
        <v>100</v>
      </c>
      <c r="D69" s="19">
        <v>1</v>
      </c>
      <c r="E69" s="19">
        <v>0.4</v>
      </c>
      <c r="F69" s="19">
        <v>15.4</v>
      </c>
      <c r="G69" s="19">
        <v>71.5</v>
      </c>
      <c r="H69" s="1" t="s">
        <v>53</v>
      </c>
    </row>
    <row r="70" spans="1:8" s="20" customFormat="1" ht="15.95" customHeight="1">
      <c r="A70" s="42" t="s">
        <v>45</v>
      </c>
      <c r="B70" s="43"/>
      <c r="C70" s="3">
        <f>SUM(C66:C69)</f>
        <v>550</v>
      </c>
      <c r="D70" s="4">
        <f>SUM(D66:D69)</f>
        <v>12.842722222222223</v>
      </c>
      <c r="E70" s="4">
        <f>SUM(E66:E69)</f>
        <v>20.882222222222225</v>
      </c>
      <c r="F70" s="4">
        <f>SUM(F66:F69)</f>
        <v>72.093000000000004</v>
      </c>
      <c r="G70" s="4">
        <f>SUM(G66:G69)</f>
        <v>455.72888888888889</v>
      </c>
      <c r="H70" s="6"/>
    </row>
    <row r="71" spans="1:8" ht="32.1" customHeight="1">
      <c r="A71" s="40" t="s">
        <v>3</v>
      </c>
      <c r="B71" s="5" t="s">
        <v>143</v>
      </c>
      <c r="C71" s="15">
        <v>60</v>
      </c>
      <c r="D71" s="7">
        <v>0.82499999999999996</v>
      </c>
      <c r="E71" s="7">
        <v>2.0550000000000002</v>
      </c>
      <c r="F71" s="7">
        <v>6.6</v>
      </c>
      <c r="G71" s="7">
        <v>49.48</v>
      </c>
      <c r="H71" s="1" t="s">
        <v>90</v>
      </c>
    </row>
    <row r="72" spans="1:8" ht="15.95" customHeight="1">
      <c r="A72" s="41"/>
      <c r="B72" s="5" t="s">
        <v>18</v>
      </c>
      <c r="C72" s="15">
        <v>200</v>
      </c>
      <c r="D72" s="7">
        <v>7.1914999999999996</v>
      </c>
      <c r="E72" s="7">
        <v>5.6044999999999998</v>
      </c>
      <c r="F72" s="7">
        <v>21.536000000000001</v>
      </c>
      <c r="G72" s="7">
        <v>171.035</v>
      </c>
      <c r="H72" s="1" t="s">
        <v>69</v>
      </c>
    </row>
    <row r="73" spans="1:8" ht="15.95" customHeight="1">
      <c r="A73" s="41"/>
      <c r="B73" s="5" t="s">
        <v>113</v>
      </c>
      <c r="C73" s="15">
        <v>90</v>
      </c>
      <c r="D73" s="7">
        <v>13.97</v>
      </c>
      <c r="E73" s="7">
        <v>15.016999999999999</v>
      </c>
      <c r="F73" s="7">
        <v>20.995000000000001</v>
      </c>
      <c r="G73" s="7">
        <v>336.85</v>
      </c>
      <c r="H73" s="1" t="s">
        <v>70</v>
      </c>
    </row>
    <row r="74" spans="1:8" ht="15.95" customHeight="1">
      <c r="A74" s="41"/>
      <c r="B74" s="5" t="s">
        <v>23</v>
      </c>
      <c r="C74" s="15">
        <v>150</v>
      </c>
      <c r="D74" s="7">
        <v>2.9649999999999999</v>
      </c>
      <c r="E74" s="7">
        <v>4.8449999999999998</v>
      </c>
      <c r="F74" s="7">
        <v>34.82</v>
      </c>
      <c r="G74" s="7">
        <v>177.25</v>
      </c>
      <c r="H74" s="1" t="s">
        <v>78</v>
      </c>
    </row>
    <row r="75" spans="1:8" ht="15.95" customHeight="1">
      <c r="A75" s="41"/>
      <c r="B75" s="5" t="s">
        <v>102</v>
      </c>
      <c r="C75" s="15">
        <v>200</v>
      </c>
      <c r="D75" s="7">
        <v>0.11600000000000001</v>
      </c>
      <c r="E75" s="7">
        <v>0.108</v>
      </c>
      <c r="F75" s="7">
        <v>17.888000000000002</v>
      </c>
      <c r="G75" s="7">
        <v>74.957999999999998</v>
      </c>
      <c r="H75" s="1" t="s">
        <v>114</v>
      </c>
    </row>
    <row r="76" spans="1:8" ht="15.95" customHeight="1">
      <c r="A76" s="41"/>
      <c r="B76" s="5" t="s">
        <v>4</v>
      </c>
      <c r="C76" s="15">
        <v>48</v>
      </c>
      <c r="D76" s="7">
        <v>3.7349999999999999</v>
      </c>
      <c r="E76" s="7">
        <v>0.67500000000000004</v>
      </c>
      <c r="F76" s="7">
        <v>21.645</v>
      </c>
      <c r="G76" s="7">
        <v>116.55</v>
      </c>
      <c r="H76" s="1" t="s">
        <v>58</v>
      </c>
    </row>
    <row r="77" spans="1:8" ht="15.95" customHeight="1">
      <c r="A77" s="41"/>
      <c r="B77" s="5" t="s">
        <v>1</v>
      </c>
      <c r="C77" s="15">
        <v>50</v>
      </c>
      <c r="D77" s="7">
        <v>3.7999999999999994</v>
      </c>
      <c r="E77" s="7">
        <v>0.45</v>
      </c>
      <c r="F77" s="7">
        <v>24.75</v>
      </c>
      <c r="G77" s="7">
        <v>135</v>
      </c>
      <c r="H77" s="1" t="s">
        <v>59</v>
      </c>
    </row>
    <row r="78" spans="1:8" s="20" customFormat="1" ht="15.95" customHeight="1">
      <c r="A78" s="42" t="s">
        <v>46</v>
      </c>
      <c r="B78" s="43"/>
      <c r="C78" s="3">
        <f>SUM(C71:C77)</f>
        <v>798</v>
      </c>
      <c r="D78" s="4">
        <f>SUM(D71:D77)</f>
        <v>32.602499999999999</v>
      </c>
      <c r="E78" s="4">
        <f>SUM(E71:E77)</f>
        <v>28.754499999999997</v>
      </c>
      <c r="F78" s="4">
        <f>SUM(F71:F77)</f>
        <v>148.23399999999998</v>
      </c>
      <c r="G78" s="4">
        <f>SUM(G71:G77)</f>
        <v>1061.123</v>
      </c>
      <c r="H78" s="6"/>
    </row>
    <row r="79" spans="1:8" s="20" customFormat="1" ht="15.95" customHeight="1">
      <c r="A79" s="51" t="s">
        <v>136</v>
      </c>
      <c r="B79" s="5" t="s">
        <v>9</v>
      </c>
      <c r="C79" s="35">
        <v>1.8</v>
      </c>
      <c r="D79" s="19">
        <v>0</v>
      </c>
      <c r="E79" s="19">
        <v>0</v>
      </c>
      <c r="F79" s="19">
        <v>0</v>
      </c>
      <c r="G79" s="19">
        <v>0</v>
      </c>
      <c r="H79" s="6"/>
    </row>
    <row r="80" spans="1:8" s="20" customFormat="1" ht="15.95" customHeight="1">
      <c r="A80" s="52"/>
      <c r="B80" s="5" t="s">
        <v>137</v>
      </c>
      <c r="C80" s="36">
        <v>0.06</v>
      </c>
      <c r="D80" s="19">
        <f>0.0006/10</f>
        <v>5.9999999999999995E-5</v>
      </c>
      <c r="E80" s="19">
        <f>0.0006/10</f>
        <v>5.9999999999999995E-5</v>
      </c>
      <c r="F80" s="19">
        <f>0.57468/10</f>
        <v>5.7467999999999998E-2</v>
      </c>
      <c r="G80" s="19">
        <f>1.39038/10</f>
        <v>0.13903799999999999</v>
      </c>
      <c r="H80" s="6"/>
    </row>
    <row r="81" spans="1:8" ht="15.95" customHeight="1">
      <c r="A81" s="48" t="s">
        <v>126</v>
      </c>
      <c r="B81" s="49"/>
      <c r="C81" s="50"/>
      <c r="D81" s="4">
        <f>D70+D78+D79+D80</f>
        <v>45.445282222222218</v>
      </c>
      <c r="E81" s="4">
        <f>E70+E78+E79+E80</f>
        <v>49.636782222222216</v>
      </c>
      <c r="F81" s="4">
        <f>F70+F78+F79+F80</f>
        <v>220.384468</v>
      </c>
      <c r="G81" s="4">
        <f>G70+G78+G79+G80</f>
        <v>1516.9909268888889</v>
      </c>
      <c r="H81" s="1"/>
    </row>
    <row r="82" spans="1:8" ht="15.95" customHeight="1">
      <c r="A82" s="9"/>
      <c r="B82" s="9"/>
      <c r="C82" s="13"/>
      <c r="D82" s="14"/>
      <c r="E82" s="14"/>
      <c r="F82" s="14"/>
      <c r="G82" s="14"/>
      <c r="H82" s="8"/>
    </row>
    <row r="83" spans="1:8" ht="15.95" customHeight="1">
      <c r="A83" s="9"/>
      <c r="B83" s="9"/>
      <c r="C83" s="13"/>
      <c r="D83" s="14"/>
      <c r="E83" s="14"/>
      <c r="F83" s="14"/>
      <c r="G83" s="14"/>
      <c r="H83" s="8"/>
    </row>
    <row r="84" spans="1:8" ht="15.95" customHeight="1">
      <c r="A84" s="9"/>
      <c r="B84" s="9"/>
      <c r="C84" s="13"/>
      <c r="D84" s="14"/>
      <c r="E84" s="14"/>
      <c r="F84" s="14"/>
      <c r="G84" s="14"/>
      <c r="H84" s="8"/>
    </row>
    <row r="85" spans="1:8" ht="15.95" customHeight="1">
      <c r="A85" s="9"/>
      <c r="B85" s="9"/>
      <c r="C85" s="13"/>
      <c r="D85" s="14"/>
      <c r="E85" s="14"/>
      <c r="F85" s="14"/>
      <c r="G85" s="14"/>
      <c r="H85" s="8"/>
    </row>
    <row r="86" spans="1:8" ht="15.95" customHeight="1">
      <c r="A86" s="9"/>
      <c r="B86" s="9"/>
      <c r="C86" s="13"/>
      <c r="D86" s="14"/>
      <c r="E86" s="14"/>
      <c r="F86" s="14"/>
      <c r="G86" s="14"/>
      <c r="H86" s="8"/>
    </row>
    <row r="87" spans="1:8" ht="15.95" customHeight="1">
      <c r="A87" s="9"/>
      <c r="B87" s="10"/>
      <c r="C87" s="11"/>
      <c r="D87" s="26"/>
      <c r="E87" s="26"/>
      <c r="F87" s="26"/>
      <c r="G87" s="26"/>
      <c r="H87" s="8"/>
    </row>
    <row r="88" spans="1:8" ht="15.95" customHeight="1">
      <c r="A88" s="9"/>
      <c r="B88" s="10"/>
      <c r="C88" s="11"/>
      <c r="D88" s="26"/>
      <c r="E88" s="26"/>
      <c r="F88" s="26"/>
      <c r="G88" s="26"/>
      <c r="H88" s="8"/>
    </row>
    <row r="89" spans="1:8" ht="15.95" customHeight="1">
      <c r="A89" s="9"/>
      <c r="B89" s="9"/>
      <c r="C89" s="13"/>
      <c r="D89" s="14"/>
      <c r="E89" s="14"/>
      <c r="F89" s="14"/>
      <c r="G89" s="14"/>
      <c r="H89" s="8"/>
    </row>
    <row r="90" spans="1:8" ht="15.95" customHeight="1">
      <c r="A90" s="9"/>
      <c r="B90" s="9"/>
      <c r="C90" s="13"/>
      <c r="D90" s="14"/>
      <c r="E90" s="14"/>
      <c r="F90" s="14"/>
      <c r="G90" s="14"/>
      <c r="H90" s="8"/>
    </row>
    <row r="91" spans="1:8" ht="15.95" customHeight="1">
      <c r="A91" s="9"/>
      <c r="B91" s="9"/>
      <c r="C91" s="13"/>
      <c r="D91" s="14"/>
      <c r="E91" s="14"/>
      <c r="F91" s="14"/>
      <c r="G91" s="14"/>
      <c r="H91" s="8"/>
    </row>
    <row r="92" spans="1:8" ht="15.95" customHeight="1">
      <c r="A92" s="9"/>
      <c r="B92" s="9"/>
      <c r="C92" s="13"/>
      <c r="D92" s="14"/>
      <c r="E92" s="14"/>
      <c r="F92" s="14"/>
      <c r="G92" s="14"/>
      <c r="H92" s="8">
        <v>4</v>
      </c>
    </row>
    <row r="93" spans="1:8" ht="15.95" customHeight="1">
      <c r="A93" s="9"/>
      <c r="B93" s="9"/>
      <c r="C93" s="13"/>
      <c r="D93" s="14"/>
      <c r="E93" s="14"/>
      <c r="F93" s="14"/>
      <c r="G93" s="14"/>
      <c r="H93" s="8"/>
    </row>
    <row r="94" spans="1:8" ht="39.950000000000003" customHeight="1">
      <c r="A94" s="60" t="s">
        <v>72</v>
      </c>
      <c r="B94" s="61"/>
      <c r="C94" s="61"/>
      <c r="D94" s="61"/>
      <c r="E94" s="61"/>
      <c r="F94" s="61"/>
      <c r="G94" s="61"/>
      <c r="H94" s="62"/>
    </row>
    <row r="95" spans="1:8" ht="15.95" customHeight="1">
      <c r="A95" s="44" t="s">
        <v>38</v>
      </c>
      <c r="B95" s="45" t="s">
        <v>48</v>
      </c>
      <c r="C95" s="46" t="s">
        <v>39</v>
      </c>
      <c r="D95" s="53" t="s">
        <v>40</v>
      </c>
      <c r="E95" s="54"/>
      <c r="F95" s="55"/>
      <c r="G95" s="56" t="s">
        <v>41</v>
      </c>
      <c r="H95" s="58" t="s">
        <v>42</v>
      </c>
    </row>
    <row r="96" spans="1:8" ht="30" customHeight="1">
      <c r="A96" s="44"/>
      <c r="B96" s="45"/>
      <c r="C96" s="47"/>
      <c r="D96" s="17" t="s">
        <v>43</v>
      </c>
      <c r="E96" s="17" t="s">
        <v>44</v>
      </c>
      <c r="F96" s="18" t="s">
        <v>49</v>
      </c>
      <c r="G96" s="57"/>
      <c r="H96" s="59"/>
    </row>
    <row r="97" spans="1:8" ht="15.95" customHeight="1">
      <c r="A97" s="40" t="s">
        <v>0</v>
      </c>
      <c r="B97" s="5" t="s">
        <v>115</v>
      </c>
      <c r="C97" s="15">
        <v>150</v>
      </c>
      <c r="D97" s="7">
        <v>12.236000000000001</v>
      </c>
      <c r="E97" s="7">
        <v>14.071999999999999</v>
      </c>
      <c r="F97" s="7">
        <v>22.28</v>
      </c>
      <c r="G97" s="7">
        <v>275.49</v>
      </c>
      <c r="H97" s="1" t="s">
        <v>73</v>
      </c>
    </row>
    <row r="98" spans="1:8" ht="15.95" customHeight="1">
      <c r="A98" s="41"/>
      <c r="B98" s="5" t="s">
        <v>103</v>
      </c>
      <c r="C98" s="15">
        <v>20</v>
      </c>
      <c r="D98" s="7">
        <v>0.39800000000000002</v>
      </c>
      <c r="E98" s="7">
        <v>1.1559999999999999</v>
      </c>
      <c r="F98" s="7">
        <v>2.9803999999999999</v>
      </c>
      <c r="G98" s="7">
        <v>23.001999999999999</v>
      </c>
      <c r="H98" s="1" t="s">
        <v>116</v>
      </c>
    </row>
    <row r="99" spans="1:8" ht="15.95" customHeight="1">
      <c r="A99" s="41"/>
      <c r="B99" s="5" t="s">
        <v>13</v>
      </c>
      <c r="C99" s="15">
        <v>40</v>
      </c>
      <c r="D99" s="7">
        <f>1.95*40/35</f>
        <v>2.2285714285714286</v>
      </c>
      <c r="E99" s="7">
        <f>6.475*40/35</f>
        <v>7.4</v>
      </c>
      <c r="F99" s="7">
        <v>15.66</v>
      </c>
      <c r="G99" s="7">
        <f>84.3*40/35</f>
        <v>96.342857142857142</v>
      </c>
      <c r="H99" s="1" t="s">
        <v>62</v>
      </c>
    </row>
    <row r="100" spans="1:8" ht="15.95" customHeight="1">
      <c r="A100" s="41"/>
      <c r="B100" s="5" t="s">
        <v>2</v>
      </c>
      <c r="C100" s="15">
        <v>100</v>
      </c>
      <c r="D100" s="7">
        <v>1</v>
      </c>
      <c r="E100" s="7">
        <v>0.4</v>
      </c>
      <c r="F100" s="7">
        <v>15.4</v>
      </c>
      <c r="G100" s="7">
        <v>71.5</v>
      </c>
      <c r="H100" s="1" t="s">
        <v>53</v>
      </c>
    </row>
    <row r="101" spans="1:8" ht="15.95" customHeight="1">
      <c r="A101" s="41"/>
      <c r="B101" s="5" t="s">
        <v>20</v>
      </c>
      <c r="C101" s="15">
        <v>200</v>
      </c>
      <c r="D101" s="7">
        <v>2.0960000000000001</v>
      </c>
      <c r="E101" s="7">
        <v>4.18</v>
      </c>
      <c r="F101" s="7">
        <v>11.42</v>
      </c>
      <c r="G101" s="7">
        <v>87.71</v>
      </c>
      <c r="H101" s="1" t="s">
        <v>74</v>
      </c>
    </row>
    <row r="102" spans="1:8" s="20" customFormat="1" ht="15.95" customHeight="1">
      <c r="A102" s="42" t="s">
        <v>45</v>
      </c>
      <c r="B102" s="43"/>
      <c r="C102" s="3">
        <f>SUM(C97:C101)</f>
        <v>510</v>
      </c>
      <c r="D102" s="4">
        <f>SUM(D97:D101)</f>
        <v>17.958571428571428</v>
      </c>
      <c r="E102" s="4">
        <f>SUM(E97:E101)</f>
        <v>27.207999999999998</v>
      </c>
      <c r="F102" s="4">
        <f>SUM(F97:F101)</f>
        <v>67.740399999999994</v>
      </c>
      <c r="G102" s="4">
        <f>SUM(G97:G101)</f>
        <v>554.04485714285715</v>
      </c>
      <c r="H102" s="6"/>
    </row>
    <row r="103" spans="1:8" ht="32.1" customHeight="1">
      <c r="A103" s="40" t="s">
        <v>3</v>
      </c>
      <c r="B103" s="5" t="s">
        <v>140</v>
      </c>
      <c r="C103" s="15">
        <v>60</v>
      </c>
      <c r="D103" s="7">
        <v>0.504</v>
      </c>
      <c r="E103" s="7">
        <v>6.3E-2</v>
      </c>
      <c r="F103" s="7">
        <v>1.071</v>
      </c>
      <c r="G103" s="7">
        <v>8.19</v>
      </c>
      <c r="H103" s="1" t="s">
        <v>95</v>
      </c>
    </row>
    <row r="104" spans="1:8" ht="15.95" customHeight="1">
      <c r="A104" s="41"/>
      <c r="B104" s="5" t="s">
        <v>21</v>
      </c>
      <c r="C104" s="15">
        <v>200</v>
      </c>
      <c r="D104" s="7">
        <v>6.7240000000000002</v>
      </c>
      <c r="E104" s="7">
        <v>3.6227999999999998</v>
      </c>
      <c r="F104" s="7">
        <v>18.22</v>
      </c>
      <c r="G104" s="7">
        <v>152.93899999999999</v>
      </c>
      <c r="H104" s="1" t="s">
        <v>76</v>
      </c>
    </row>
    <row r="105" spans="1:8" ht="15.95" customHeight="1">
      <c r="A105" s="41"/>
      <c r="B105" s="5" t="s">
        <v>22</v>
      </c>
      <c r="C105" s="15">
        <v>90</v>
      </c>
      <c r="D105" s="7">
        <v>10.468</v>
      </c>
      <c r="E105" s="7">
        <v>6.2096</v>
      </c>
      <c r="F105" s="7">
        <v>10.674099999999999</v>
      </c>
      <c r="G105" s="7">
        <v>191.64400000000001</v>
      </c>
      <c r="H105" s="1" t="s">
        <v>77</v>
      </c>
    </row>
    <row r="106" spans="1:8" ht="15.95" customHeight="1">
      <c r="A106" s="41"/>
      <c r="B106" s="5" t="s">
        <v>27</v>
      </c>
      <c r="C106" s="15">
        <v>150</v>
      </c>
      <c r="D106" s="7">
        <v>4.3849999999999998</v>
      </c>
      <c r="E106" s="7">
        <v>7.4749999999999996</v>
      </c>
      <c r="F106" s="7">
        <v>35.805999999999997</v>
      </c>
      <c r="G106" s="7">
        <v>221.86</v>
      </c>
      <c r="H106" s="1" t="s">
        <v>83</v>
      </c>
    </row>
    <row r="107" spans="1:8" ht="15.95" customHeight="1">
      <c r="A107" s="41"/>
      <c r="B107" s="5" t="s">
        <v>24</v>
      </c>
      <c r="C107" s="15">
        <v>200</v>
      </c>
      <c r="D107" s="7">
        <v>0.108</v>
      </c>
      <c r="E107" s="7">
        <v>0.108</v>
      </c>
      <c r="F107" s="7">
        <v>11.628</v>
      </c>
      <c r="G107" s="7">
        <v>47.898000000000003</v>
      </c>
      <c r="H107" s="1" t="s">
        <v>79</v>
      </c>
    </row>
    <row r="108" spans="1:8" ht="15.95" customHeight="1">
      <c r="A108" s="41"/>
      <c r="B108" s="5" t="s">
        <v>4</v>
      </c>
      <c r="C108" s="15">
        <v>48</v>
      </c>
      <c r="D108" s="7">
        <v>3.7349999999999999</v>
      </c>
      <c r="E108" s="7">
        <v>0.67500000000000004</v>
      </c>
      <c r="F108" s="7">
        <v>21.645</v>
      </c>
      <c r="G108" s="7">
        <v>116.55</v>
      </c>
      <c r="H108" s="1" t="s">
        <v>58</v>
      </c>
    </row>
    <row r="109" spans="1:8" ht="15.95" customHeight="1">
      <c r="A109" s="41"/>
      <c r="B109" s="5" t="s">
        <v>1</v>
      </c>
      <c r="C109" s="15">
        <v>50</v>
      </c>
      <c r="D109" s="7">
        <v>3.7999999999999994</v>
      </c>
      <c r="E109" s="7">
        <v>0.45</v>
      </c>
      <c r="F109" s="7">
        <v>24.75</v>
      </c>
      <c r="G109" s="7">
        <v>135</v>
      </c>
      <c r="H109" s="1" t="s">
        <v>59</v>
      </c>
    </row>
    <row r="110" spans="1:8" s="20" customFormat="1" ht="15.95" customHeight="1">
      <c r="A110" s="42" t="s">
        <v>46</v>
      </c>
      <c r="B110" s="43"/>
      <c r="C110" s="3">
        <f>SUM(C103:C109)</f>
        <v>798</v>
      </c>
      <c r="D110" s="4">
        <f>SUM(D103:D109)</f>
        <v>29.723999999999997</v>
      </c>
      <c r="E110" s="4">
        <f>SUM(E103:E109)</f>
        <v>18.603400000000001</v>
      </c>
      <c r="F110" s="4">
        <f>SUM(F103:F109)</f>
        <v>123.79409999999999</v>
      </c>
      <c r="G110" s="4">
        <f>SUM(G103:G109)</f>
        <v>874.08100000000002</v>
      </c>
      <c r="H110" s="6"/>
    </row>
    <row r="111" spans="1:8" s="20" customFormat="1" ht="15.95" customHeight="1">
      <c r="A111" s="51" t="s">
        <v>136</v>
      </c>
      <c r="B111" s="5" t="s">
        <v>9</v>
      </c>
      <c r="C111" s="35">
        <v>1.8</v>
      </c>
      <c r="D111" s="19">
        <v>0</v>
      </c>
      <c r="E111" s="19">
        <v>0</v>
      </c>
      <c r="F111" s="19">
        <v>0</v>
      </c>
      <c r="G111" s="19">
        <v>0</v>
      </c>
      <c r="H111" s="6"/>
    </row>
    <row r="112" spans="1:8" s="20" customFormat="1" ht="15.95" customHeight="1">
      <c r="A112" s="52"/>
      <c r="B112" s="5" t="s">
        <v>137</v>
      </c>
      <c r="C112" s="36">
        <v>0.06</v>
      </c>
      <c r="D112" s="19">
        <f>0.0006/10</f>
        <v>5.9999999999999995E-5</v>
      </c>
      <c r="E112" s="19">
        <f>0.0006/10</f>
        <v>5.9999999999999995E-5</v>
      </c>
      <c r="F112" s="19">
        <f>0.57468/10</f>
        <v>5.7467999999999998E-2</v>
      </c>
      <c r="G112" s="19">
        <f>1.39038/10</f>
        <v>0.13903799999999999</v>
      </c>
      <c r="H112" s="6"/>
    </row>
    <row r="113" spans="1:8" ht="15.95" customHeight="1">
      <c r="A113" s="48" t="s">
        <v>127</v>
      </c>
      <c r="B113" s="49"/>
      <c r="C113" s="50"/>
      <c r="D113" s="4">
        <f>D102+D110+D111+D112</f>
        <v>47.682631428571419</v>
      </c>
      <c r="E113" s="4">
        <f>E102+E110+E111+E112</f>
        <v>45.811459999999997</v>
      </c>
      <c r="F113" s="4">
        <f>F102+F110+F111+F112</f>
        <v>191.59196799999998</v>
      </c>
      <c r="G113" s="4">
        <f>G102+G110+G111+G112</f>
        <v>1428.2648951428571</v>
      </c>
      <c r="H113" s="1"/>
    </row>
    <row r="114" spans="1:8" ht="15.95" customHeight="1">
      <c r="A114" s="9"/>
      <c r="B114" s="9"/>
      <c r="C114" s="13"/>
      <c r="D114" s="14"/>
      <c r="E114" s="14"/>
      <c r="F114" s="14"/>
      <c r="G114" s="14"/>
      <c r="H114" s="8"/>
    </row>
    <row r="115" spans="1:8" ht="15.95" customHeight="1">
      <c r="A115" s="9"/>
      <c r="B115" s="9"/>
      <c r="C115" s="13"/>
      <c r="D115" s="14"/>
      <c r="E115" s="14"/>
      <c r="F115" s="14"/>
      <c r="G115" s="14"/>
      <c r="H115" s="8"/>
    </row>
    <row r="116" spans="1:8" ht="15.95" customHeight="1">
      <c r="A116" s="9"/>
      <c r="B116" s="9"/>
      <c r="C116" s="13"/>
      <c r="D116" s="14"/>
      <c r="E116" s="14"/>
      <c r="F116" s="14"/>
      <c r="G116" s="14"/>
      <c r="H116" s="8"/>
    </row>
    <row r="117" spans="1:8" ht="15.95" customHeight="1">
      <c r="A117" s="9"/>
      <c r="B117" s="9"/>
      <c r="C117" s="13"/>
      <c r="D117" s="14"/>
      <c r="E117" s="14"/>
      <c r="F117" s="14"/>
      <c r="G117" s="14"/>
      <c r="H117" s="8"/>
    </row>
    <row r="118" spans="1:8" ht="15.95" customHeight="1">
      <c r="A118" s="9"/>
      <c r="B118" s="9"/>
      <c r="C118" s="13"/>
      <c r="D118" s="14"/>
      <c r="E118" s="14"/>
      <c r="F118" s="14"/>
      <c r="G118" s="14"/>
      <c r="H118" s="8"/>
    </row>
    <row r="119" spans="1:8" ht="15.95" customHeight="1">
      <c r="A119" s="9"/>
      <c r="B119" s="9"/>
      <c r="C119" s="13"/>
      <c r="D119" s="22"/>
      <c r="E119" s="22"/>
      <c r="F119" s="22"/>
      <c r="G119" s="22"/>
      <c r="H119" s="8"/>
    </row>
    <row r="120" spans="1:8" ht="15.95" customHeight="1">
      <c r="A120" s="9"/>
      <c r="B120" s="9"/>
      <c r="C120" s="13"/>
      <c r="D120" s="14"/>
      <c r="E120" s="14"/>
      <c r="F120" s="14"/>
      <c r="G120" s="14"/>
      <c r="H120" s="8"/>
    </row>
    <row r="121" spans="1:8" ht="15.95" customHeight="1">
      <c r="A121" s="9"/>
      <c r="B121" s="9"/>
      <c r="C121" s="13"/>
      <c r="D121" s="14"/>
      <c r="E121" s="14"/>
      <c r="F121" s="14"/>
      <c r="G121" s="14"/>
      <c r="H121" s="8"/>
    </row>
    <row r="122" spans="1:8" ht="15.95" customHeight="1">
      <c r="A122" s="9"/>
      <c r="B122" s="9"/>
      <c r="C122" s="13"/>
      <c r="D122" s="14"/>
      <c r="E122" s="14"/>
      <c r="F122" s="14"/>
      <c r="G122" s="14"/>
      <c r="H122" s="8"/>
    </row>
    <row r="123" spans="1:8" ht="15.95" customHeight="1">
      <c r="A123" s="9"/>
      <c r="B123" s="9"/>
      <c r="C123" s="13"/>
      <c r="D123" s="14"/>
      <c r="E123" s="14"/>
      <c r="F123" s="14"/>
      <c r="G123" s="14"/>
      <c r="H123" s="8">
        <v>5</v>
      </c>
    </row>
    <row r="124" spans="1:8" ht="15.95" customHeight="1">
      <c r="A124" s="9"/>
      <c r="B124" s="9"/>
      <c r="C124" s="13"/>
      <c r="D124" s="14"/>
      <c r="E124" s="14"/>
      <c r="F124" s="14"/>
      <c r="G124" s="14"/>
      <c r="H124" s="8"/>
    </row>
    <row r="125" spans="1:8" ht="39.950000000000003" customHeight="1">
      <c r="A125" s="60" t="s">
        <v>80</v>
      </c>
      <c r="B125" s="61"/>
      <c r="C125" s="61"/>
      <c r="D125" s="61"/>
      <c r="E125" s="61"/>
      <c r="F125" s="61"/>
      <c r="G125" s="61"/>
      <c r="H125" s="62"/>
    </row>
    <row r="126" spans="1:8" ht="15.95" customHeight="1">
      <c r="A126" s="44" t="s">
        <v>38</v>
      </c>
      <c r="B126" s="45" t="s">
        <v>48</v>
      </c>
      <c r="C126" s="46" t="s">
        <v>39</v>
      </c>
      <c r="D126" s="53" t="s">
        <v>40</v>
      </c>
      <c r="E126" s="54"/>
      <c r="F126" s="55"/>
      <c r="G126" s="56" t="s">
        <v>41</v>
      </c>
      <c r="H126" s="58" t="s">
        <v>42</v>
      </c>
    </row>
    <row r="127" spans="1:8" ht="30" customHeight="1">
      <c r="A127" s="44"/>
      <c r="B127" s="45"/>
      <c r="C127" s="47"/>
      <c r="D127" s="17" t="s">
        <v>43</v>
      </c>
      <c r="E127" s="17" t="s">
        <v>44</v>
      </c>
      <c r="F127" s="18" t="s">
        <v>49</v>
      </c>
      <c r="G127" s="57"/>
      <c r="H127" s="59"/>
    </row>
    <row r="128" spans="1:8" ht="15.95" customHeight="1">
      <c r="A128" s="40" t="s">
        <v>0</v>
      </c>
      <c r="B128" s="5" t="s">
        <v>104</v>
      </c>
      <c r="C128" s="15">
        <v>230</v>
      </c>
      <c r="D128" s="7">
        <v>5.9625000000000004</v>
      </c>
      <c r="E128" s="7">
        <v>6.7975000000000003</v>
      </c>
      <c r="F128" s="7">
        <v>20.445</v>
      </c>
      <c r="G128" s="7">
        <v>186.73</v>
      </c>
      <c r="H128" s="1" t="s">
        <v>117</v>
      </c>
    </row>
    <row r="129" spans="1:8" ht="15.95" customHeight="1">
      <c r="A129" s="41"/>
      <c r="B129" s="5" t="s">
        <v>25</v>
      </c>
      <c r="C129" s="15">
        <v>50</v>
      </c>
      <c r="D129" s="7">
        <f>4.25*50/45</f>
        <v>4.7222222222222223</v>
      </c>
      <c r="E129" s="7">
        <f>9.38*50/45</f>
        <v>10.422222222222224</v>
      </c>
      <c r="F129" s="7">
        <v>18.39</v>
      </c>
      <c r="G129" s="7">
        <f>118.7*50/45</f>
        <v>131.88888888888889</v>
      </c>
      <c r="H129" s="1" t="s">
        <v>81</v>
      </c>
    </row>
    <row r="130" spans="1:8" ht="15.95" customHeight="1">
      <c r="A130" s="41"/>
      <c r="B130" s="5" t="s">
        <v>17</v>
      </c>
      <c r="C130" s="15">
        <v>200</v>
      </c>
      <c r="D130" s="7">
        <v>6.9999999999999999E-4</v>
      </c>
      <c r="E130" s="7">
        <v>0</v>
      </c>
      <c r="F130" s="7">
        <v>7.0350000000000001</v>
      </c>
      <c r="G130" s="7">
        <v>28.126000000000001</v>
      </c>
      <c r="H130" s="1" t="s">
        <v>68</v>
      </c>
    </row>
    <row r="131" spans="1:8" ht="15.95" customHeight="1">
      <c r="A131" s="41"/>
      <c r="B131" s="5" t="s">
        <v>6</v>
      </c>
      <c r="C131" s="15">
        <v>30</v>
      </c>
      <c r="D131" s="7">
        <v>2.25</v>
      </c>
      <c r="E131" s="7">
        <v>3.54</v>
      </c>
      <c r="F131" s="7">
        <v>32.47</v>
      </c>
      <c r="G131" s="7">
        <v>125.13</v>
      </c>
      <c r="H131" s="1"/>
    </row>
    <row r="132" spans="1:8" s="20" customFormat="1" ht="15.95" customHeight="1">
      <c r="A132" s="42" t="s">
        <v>45</v>
      </c>
      <c r="B132" s="43"/>
      <c r="C132" s="3">
        <f>SUM(C128:C131)</f>
        <v>510</v>
      </c>
      <c r="D132" s="4">
        <f>SUM(D128:D131)</f>
        <v>12.935422222222224</v>
      </c>
      <c r="E132" s="4">
        <f>SUM(E128:E131)</f>
        <v>20.759722222222223</v>
      </c>
      <c r="F132" s="4">
        <f>SUM(F128:F131)</f>
        <v>78.34</v>
      </c>
      <c r="G132" s="4">
        <f>SUM(G128:G131)</f>
        <v>471.87488888888885</v>
      </c>
      <c r="H132" s="6"/>
    </row>
    <row r="133" spans="1:8" ht="32.1" customHeight="1">
      <c r="A133" s="40" t="s">
        <v>3</v>
      </c>
      <c r="B133" s="5" t="s">
        <v>141</v>
      </c>
      <c r="C133" s="15">
        <v>60</v>
      </c>
      <c r="D133" s="7">
        <v>0.96</v>
      </c>
      <c r="E133" s="7">
        <v>3.78</v>
      </c>
      <c r="F133" s="7">
        <v>4.4400000000000004</v>
      </c>
      <c r="G133" s="7">
        <v>54.48</v>
      </c>
      <c r="H133" s="1" t="s">
        <v>112</v>
      </c>
    </row>
    <row r="134" spans="1:8" ht="15.95" customHeight="1">
      <c r="A134" s="41"/>
      <c r="B134" s="5" t="s">
        <v>122</v>
      </c>
      <c r="C134" s="15">
        <v>200</v>
      </c>
      <c r="D134" s="7">
        <v>3.927</v>
      </c>
      <c r="E134" s="7">
        <v>3.9678</v>
      </c>
      <c r="F134" s="7">
        <v>17.957599999999999</v>
      </c>
      <c r="G134" s="7">
        <v>117.10899999999999</v>
      </c>
      <c r="H134" s="1" t="s">
        <v>82</v>
      </c>
    </row>
    <row r="135" spans="1:8" ht="15.95" customHeight="1">
      <c r="A135" s="41"/>
      <c r="B135" s="5" t="s">
        <v>26</v>
      </c>
      <c r="C135" s="15">
        <v>90</v>
      </c>
      <c r="D135" s="7">
        <v>14.1965</v>
      </c>
      <c r="E135" s="7">
        <v>13.5701</v>
      </c>
      <c r="F135" s="7">
        <v>15.475099999999999</v>
      </c>
      <c r="G135" s="7">
        <v>281.44400000000002</v>
      </c>
      <c r="H135" s="1" t="s">
        <v>118</v>
      </c>
    </row>
    <row r="136" spans="1:8" ht="15.95" customHeight="1">
      <c r="A136" s="41"/>
      <c r="B136" s="5" t="s">
        <v>19</v>
      </c>
      <c r="C136" s="15">
        <v>150</v>
      </c>
      <c r="D136" s="7">
        <v>5.3624999999999998</v>
      </c>
      <c r="E136" s="7">
        <v>5.1548999999999996</v>
      </c>
      <c r="F136" s="7">
        <v>30.131399999999999</v>
      </c>
      <c r="G136" s="7">
        <v>188.25800000000001</v>
      </c>
      <c r="H136" s="1" t="s">
        <v>71</v>
      </c>
    </row>
    <row r="137" spans="1:8" ht="15.95" customHeight="1">
      <c r="A137" s="41"/>
      <c r="B137" s="5" t="s">
        <v>16</v>
      </c>
      <c r="C137" s="15">
        <v>200</v>
      </c>
      <c r="D137" s="7">
        <v>0</v>
      </c>
      <c r="E137" s="7">
        <v>0</v>
      </c>
      <c r="F137" s="7">
        <v>11.231999999999999</v>
      </c>
      <c r="G137" s="7">
        <v>41.91</v>
      </c>
      <c r="H137" s="1" t="s">
        <v>66</v>
      </c>
    </row>
    <row r="138" spans="1:8" ht="15.95" customHeight="1">
      <c r="A138" s="41"/>
      <c r="B138" s="5" t="s">
        <v>4</v>
      </c>
      <c r="C138" s="15">
        <v>48</v>
      </c>
      <c r="D138" s="7">
        <v>3.7349999999999999</v>
      </c>
      <c r="E138" s="7">
        <v>0.67500000000000004</v>
      </c>
      <c r="F138" s="7">
        <v>21.645</v>
      </c>
      <c r="G138" s="7">
        <v>116.55</v>
      </c>
      <c r="H138" s="1" t="s">
        <v>58</v>
      </c>
    </row>
    <row r="139" spans="1:8" ht="15.95" customHeight="1">
      <c r="A139" s="41"/>
      <c r="B139" s="5" t="s">
        <v>1</v>
      </c>
      <c r="C139" s="15">
        <v>50</v>
      </c>
      <c r="D139" s="7">
        <v>3.7999999999999994</v>
      </c>
      <c r="E139" s="7">
        <v>0.45</v>
      </c>
      <c r="F139" s="7">
        <v>24.75</v>
      </c>
      <c r="G139" s="7">
        <v>135</v>
      </c>
      <c r="H139" s="1" t="s">
        <v>59</v>
      </c>
    </row>
    <row r="140" spans="1:8" s="20" customFormat="1" ht="15.95" customHeight="1">
      <c r="A140" s="42" t="s">
        <v>46</v>
      </c>
      <c r="B140" s="43"/>
      <c r="C140" s="3">
        <f>SUM(C133:C139)</f>
        <v>798</v>
      </c>
      <c r="D140" s="4">
        <f>SUM(D133:D139)</f>
        <v>31.981000000000002</v>
      </c>
      <c r="E140" s="4">
        <f>SUM(E133:E139)</f>
        <v>27.597799999999999</v>
      </c>
      <c r="F140" s="4">
        <f>SUM(F133:F139)</f>
        <v>125.63109999999999</v>
      </c>
      <c r="G140" s="4">
        <f>SUM(G133:G139)</f>
        <v>934.75099999999998</v>
      </c>
      <c r="H140" s="6"/>
    </row>
    <row r="141" spans="1:8" s="20" customFormat="1" ht="15.95" customHeight="1">
      <c r="A141" s="51" t="s">
        <v>136</v>
      </c>
      <c r="B141" s="5" t="s">
        <v>9</v>
      </c>
      <c r="C141" s="35">
        <v>1.8</v>
      </c>
      <c r="D141" s="19">
        <v>0</v>
      </c>
      <c r="E141" s="19">
        <v>0</v>
      </c>
      <c r="F141" s="19">
        <v>0</v>
      </c>
      <c r="G141" s="19">
        <v>0</v>
      </c>
      <c r="H141" s="6"/>
    </row>
    <row r="142" spans="1:8" s="20" customFormat="1" ht="15.95" customHeight="1">
      <c r="A142" s="52"/>
      <c r="B142" s="5" t="s">
        <v>137</v>
      </c>
      <c r="C142" s="36">
        <v>0.06</v>
      </c>
      <c r="D142" s="19">
        <f>0.0006/10</f>
        <v>5.9999999999999995E-5</v>
      </c>
      <c r="E142" s="19">
        <f>0.0006/10</f>
        <v>5.9999999999999995E-5</v>
      </c>
      <c r="F142" s="19">
        <f>0.57468/10</f>
        <v>5.7467999999999998E-2</v>
      </c>
      <c r="G142" s="19">
        <f>1.39038/10</f>
        <v>0.13903799999999999</v>
      </c>
      <c r="H142" s="6"/>
    </row>
    <row r="143" spans="1:8" ht="15.95" customHeight="1">
      <c r="A143" s="48" t="s">
        <v>128</v>
      </c>
      <c r="B143" s="49"/>
      <c r="C143" s="50"/>
      <c r="D143" s="4">
        <f>D132+D140+D141+D142</f>
        <v>44.916482222222221</v>
      </c>
      <c r="E143" s="4">
        <f>E132+E140+E141+E142</f>
        <v>48.35758222222222</v>
      </c>
      <c r="F143" s="4">
        <f>F132+F140+F141+F142</f>
        <v>204.02856799999998</v>
      </c>
      <c r="G143" s="4">
        <f>G132+G140+G141+G142</f>
        <v>1406.7649268888888</v>
      </c>
      <c r="H143" s="1"/>
    </row>
    <row r="144" spans="1:8" ht="15.95" customHeight="1">
      <c r="A144" s="48" t="s">
        <v>138</v>
      </c>
      <c r="B144" s="49"/>
      <c r="C144" s="50"/>
      <c r="D144" s="4">
        <f>(D19+D49+D81+D113+D143)/5</f>
        <v>45.823917460317453</v>
      </c>
      <c r="E144" s="4">
        <f>(E19+E49+E81+E113+E143)/5</f>
        <v>47.427288888888882</v>
      </c>
      <c r="F144" s="4">
        <f>(F19+F49+F81+F113+F143)/5</f>
        <v>202.81912799999998</v>
      </c>
      <c r="G144" s="4">
        <f>(G19+G49+G81+G113+G143)/5</f>
        <v>1437.2229364126983</v>
      </c>
      <c r="H144" s="4"/>
    </row>
    <row r="145" spans="1:8" ht="15.95" customHeight="1">
      <c r="A145" s="9"/>
      <c r="B145" s="9"/>
      <c r="C145" s="13"/>
      <c r="D145" s="22"/>
      <c r="E145" s="22"/>
      <c r="F145" s="22"/>
      <c r="G145" s="22"/>
      <c r="H145" s="8"/>
    </row>
    <row r="146" spans="1:8" ht="15.95" customHeight="1">
      <c r="A146" s="9"/>
      <c r="B146" s="9"/>
      <c r="C146" s="13"/>
      <c r="D146" s="22"/>
      <c r="E146" s="22"/>
      <c r="F146" s="22"/>
      <c r="G146" s="22"/>
      <c r="H146" s="8"/>
    </row>
    <row r="147" spans="1:8" ht="15.95" customHeight="1">
      <c r="A147" s="9"/>
      <c r="B147" s="9"/>
      <c r="C147" s="13"/>
      <c r="D147" s="22"/>
      <c r="E147" s="22"/>
      <c r="F147" s="22"/>
      <c r="G147" s="22"/>
      <c r="H147" s="8"/>
    </row>
    <row r="148" spans="1:8" ht="15.95" customHeight="1">
      <c r="A148" s="9"/>
      <c r="B148" s="9"/>
      <c r="C148" s="13"/>
      <c r="D148" s="22"/>
      <c r="E148" s="22"/>
      <c r="F148" s="22"/>
      <c r="G148" s="22"/>
      <c r="H148" s="8"/>
    </row>
    <row r="149" spans="1:8" ht="15.95" customHeight="1">
      <c r="A149" s="9"/>
      <c r="B149" s="9"/>
      <c r="C149" s="13"/>
      <c r="D149" s="22"/>
      <c r="E149" s="22"/>
      <c r="F149" s="22"/>
      <c r="G149" s="22"/>
      <c r="H149" s="8"/>
    </row>
    <row r="150" spans="1:8" ht="15.95" customHeight="1">
      <c r="A150" s="9"/>
      <c r="B150" s="9"/>
      <c r="C150" s="13"/>
      <c r="D150" s="14"/>
      <c r="E150" s="14"/>
      <c r="F150" s="14"/>
      <c r="G150" s="14"/>
      <c r="H150" s="8"/>
    </row>
    <row r="151" spans="1:8" ht="15.95" customHeight="1">
      <c r="A151" s="9"/>
      <c r="B151" s="9"/>
      <c r="C151" s="13"/>
      <c r="D151" s="14"/>
      <c r="E151" s="14"/>
      <c r="F151" s="14"/>
      <c r="G151" s="14"/>
      <c r="H151" s="8"/>
    </row>
    <row r="152" spans="1:8" ht="15.95" customHeight="1">
      <c r="A152" s="9"/>
      <c r="B152" s="9"/>
      <c r="C152" s="13"/>
      <c r="D152" s="14"/>
      <c r="E152" s="14"/>
      <c r="F152" s="14"/>
      <c r="G152" s="14"/>
      <c r="H152" s="8"/>
    </row>
    <row r="153" spans="1:8" ht="15.95" customHeight="1">
      <c r="A153" s="9"/>
      <c r="B153" s="9"/>
      <c r="C153" s="13"/>
      <c r="D153" s="14"/>
      <c r="E153" s="14"/>
      <c r="F153" s="14"/>
      <c r="G153" s="14"/>
      <c r="H153" s="8"/>
    </row>
    <row r="154" spans="1:8" ht="15.95" customHeight="1">
      <c r="A154" s="9"/>
      <c r="B154" s="9"/>
      <c r="C154" s="13"/>
      <c r="D154" s="14"/>
      <c r="E154" s="14"/>
      <c r="F154" s="14"/>
      <c r="G154" s="14"/>
      <c r="H154" s="8">
        <v>6</v>
      </c>
    </row>
    <row r="155" spans="1:8" ht="15.95" customHeight="1">
      <c r="A155" s="9"/>
      <c r="B155" s="9"/>
      <c r="C155" s="13"/>
      <c r="D155" s="14"/>
      <c r="E155" s="14"/>
      <c r="F155" s="14"/>
      <c r="G155" s="14"/>
      <c r="H155" s="8"/>
    </row>
    <row r="156" spans="1:8" ht="39.950000000000003" customHeight="1">
      <c r="A156" s="60" t="s">
        <v>84</v>
      </c>
      <c r="B156" s="61"/>
      <c r="C156" s="61"/>
      <c r="D156" s="61"/>
      <c r="E156" s="61"/>
      <c r="F156" s="61"/>
      <c r="G156" s="61"/>
      <c r="H156" s="62"/>
    </row>
    <row r="157" spans="1:8" ht="15.95" customHeight="1">
      <c r="A157" s="44" t="s">
        <v>38</v>
      </c>
      <c r="B157" s="45" t="s">
        <v>48</v>
      </c>
      <c r="C157" s="46" t="s">
        <v>39</v>
      </c>
      <c r="D157" s="53" t="s">
        <v>40</v>
      </c>
      <c r="E157" s="54"/>
      <c r="F157" s="55"/>
      <c r="G157" s="56" t="s">
        <v>41</v>
      </c>
      <c r="H157" s="58" t="s">
        <v>42</v>
      </c>
    </row>
    <row r="158" spans="1:8" ht="30" customHeight="1">
      <c r="A158" s="44"/>
      <c r="B158" s="45"/>
      <c r="C158" s="47"/>
      <c r="D158" s="17" t="s">
        <v>43</v>
      </c>
      <c r="E158" s="17" t="s">
        <v>44</v>
      </c>
      <c r="F158" s="18" t="s">
        <v>49</v>
      </c>
      <c r="G158" s="57"/>
      <c r="H158" s="59"/>
    </row>
    <row r="159" spans="1:8" ht="15.95" customHeight="1">
      <c r="A159" s="40" t="s">
        <v>0</v>
      </c>
      <c r="B159" s="5" t="s">
        <v>28</v>
      </c>
      <c r="C159" s="15">
        <v>150</v>
      </c>
      <c r="D159" s="7">
        <v>12.141</v>
      </c>
      <c r="E159" s="7">
        <v>13.632</v>
      </c>
      <c r="F159" s="7">
        <v>23.923999999999999</v>
      </c>
      <c r="G159" s="7">
        <v>270.55</v>
      </c>
      <c r="H159" s="1" t="s">
        <v>85</v>
      </c>
    </row>
    <row r="160" spans="1:8" ht="15.95" customHeight="1">
      <c r="A160" s="41"/>
      <c r="B160" s="5" t="s">
        <v>105</v>
      </c>
      <c r="C160" s="15">
        <v>20</v>
      </c>
      <c r="D160" s="7">
        <v>2.0500000000000001E-2</v>
      </c>
      <c r="E160" s="7">
        <v>0</v>
      </c>
      <c r="F160" s="7">
        <v>8.2357999999999993</v>
      </c>
      <c r="G160" s="7">
        <v>31.439</v>
      </c>
      <c r="H160" s="1" t="s">
        <v>135</v>
      </c>
    </row>
    <row r="161" spans="1:8" ht="15.95" customHeight="1">
      <c r="A161" s="41"/>
      <c r="B161" s="5" t="s">
        <v>2</v>
      </c>
      <c r="C161" s="15">
        <v>100</v>
      </c>
      <c r="D161" s="7">
        <v>1</v>
      </c>
      <c r="E161" s="7">
        <v>0.4</v>
      </c>
      <c r="F161" s="7">
        <v>15.4</v>
      </c>
      <c r="G161" s="7">
        <v>71.5</v>
      </c>
      <c r="H161" s="1" t="s">
        <v>53</v>
      </c>
    </row>
    <row r="162" spans="1:8" ht="15.95" customHeight="1">
      <c r="A162" s="41"/>
      <c r="B162" s="5" t="s">
        <v>25</v>
      </c>
      <c r="C162" s="15">
        <v>50</v>
      </c>
      <c r="D162" s="7">
        <f>4.25*50/45</f>
        <v>4.7222222222222223</v>
      </c>
      <c r="E162" s="7">
        <f>9.38*50/45</f>
        <v>10.422222222222224</v>
      </c>
      <c r="F162" s="7">
        <v>18.39</v>
      </c>
      <c r="G162" s="7">
        <f>118.7*50/45</f>
        <v>131.88888888888889</v>
      </c>
      <c r="H162" s="1" t="s">
        <v>86</v>
      </c>
    </row>
    <row r="163" spans="1:8" ht="15.95" customHeight="1">
      <c r="A163" s="41"/>
      <c r="B163" s="5" t="s">
        <v>17</v>
      </c>
      <c r="C163" s="15">
        <v>200</v>
      </c>
      <c r="D163" s="7">
        <v>6.9999999999999999E-4</v>
      </c>
      <c r="E163" s="7">
        <v>0</v>
      </c>
      <c r="F163" s="7">
        <v>7.0350000000000001</v>
      </c>
      <c r="G163" s="7">
        <v>28.126000000000001</v>
      </c>
      <c r="H163" s="1" t="s">
        <v>68</v>
      </c>
    </row>
    <row r="164" spans="1:8" s="20" customFormat="1" ht="15.95" customHeight="1">
      <c r="A164" s="42" t="s">
        <v>45</v>
      </c>
      <c r="B164" s="43"/>
      <c r="C164" s="3">
        <f>SUM(C159:C163)</f>
        <v>520</v>
      </c>
      <c r="D164" s="4">
        <f>SUM(D159:D163)</f>
        <v>17.88442222222222</v>
      </c>
      <c r="E164" s="4">
        <f>SUM(E159:E163)</f>
        <v>24.454222222222224</v>
      </c>
      <c r="F164" s="4">
        <f>SUM(F159:F163)</f>
        <v>72.984799999999993</v>
      </c>
      <c r="G164" s="4">
        <f>SUM(G159:G163)</f>
        <v>533.50388888888892</v>
      </c>
      <c r="H164" s="6"/>
    </row>
    <row r="165" spans="1:8" ht="32.1" customHeight="1">
      <c r="A165" s="40" t="s">
        <v>3</v>
      </c>
      <c r="B165" s="5" t="s">
        <v>142</v>
      </c>
      <c r="C165" s="15">
        <v>60</v>
      </c>
      <c r="D165" s="7">
        <v>0.63759999999999994</v>
      </c>
      <c r="E165" s="7">
        <v>2.0588000000000002</v>
      </c>
      <c r="F165" s="7">
        <v>6.4779</v>
      </c>
      <c r="G165" s="7">
        <v>48.667999999999999</v>
      </c>
      <c r="H165" s="1" t="s">
        <v>75</v>
      </c>
    </row>
    <row r="166" spans="1:8" ht="15.95" customHeight="1">
      <c r="A166" s="41"/>
      <c r="B166" s="5" t="s">
        <v>29</v>
      </c>
      <c r="C166" s="15">
        <v>200</v>
      </c>
      <c r="D166" s="7">
        <v>5.0845000000000002</v>
      </c>
      <c r="E166" s="7">
        <v>6.5778999999999996</v>
      </c>
      <c r="F166" s="7">
        <v>15.221500000000001</v>
      </c>
      <c r="G166" s="7">
        <v>133.452</v>
      </c>
      <c r="H166" s="1" t="s">
        <v>87</v>
      </c>
    </row>
    <row r="167" spans="1:8" ht="15.95" customHeight="1">
      <c r="A167" s="41"/>
      <c r="B167" s="5" t="s">
        <v>22</v>
      </c>
      <c r="C167" s="15">
        <v>90</v>
      </c>
      <c r="D167" s="7">
        <v>10.468</v>
      </c>
      <c r="E167" s="7">
        <v>6.2096</v>
      </c>
      <c r="F167" s="7">
        <v>10.674099999999999</v>
      </c>
      <c r="G167" s="7">
        <v>191.64400000000001</v>
      </c>
      <c r="H167" s="1" t="s">
        <v>77</v>
      </c>
    </row>
    <row r="168" spans="1:8" ht="15.95" customHeight="1">
      <c r="A168" s="41"/>
      <c r="B168" s="5" t="s">
        <v>30</v>
      </c>
      <c r="C168" s="15">
        <v>150</v>
      </c>
      <c r="D168" s="7">
        <v>4.0250000000000004</v>
      </c>
      <c r="E168" s="7">
        <v>5.9249999999999998</v>
      </c>
      <c r="F168" s="7">
        <v>29.64</v>
      </c>
      <c r="G168" s="7">
        <v>183.4</v>
      </c>
      <c r="H168" s="1" t="s">
        <v>88</v>
      </c>
    </row>
    <row r="169" spans="1:8" ht="15.95" customHeight="1">
      <c r="A169" s="41"/>
      <c r="B169" s="5" t="s">
        <v>24</v>
      </c>
      <c r="C169" s="15">
        <v>200</v>
      </c>
      <c r="D169" s="7">
        <v>0.108</v>
      </c>
      <c r="E169" s="7">
        <v>0.108</v>
      </c>
      <c r="F169" s="7">
        <v>11.628</v>
      </c>
      <c r="G169" s="7">
        <v>47.898000000000003</v>
      </c>
      <c r="H169" s="1" t="s">
        <v>79</v>
      </c>
    </row>
    <row r="170" spans="1:8" ht="15.95" customHeight="1">
      <c r="A170" s="41"/>
      <c r="B170" s="5" t="s">
        <v>4</v>
      </c>
      <c r="C170" s="15">
        <v>48</v>
      </c>
      <c r="D170" s="7">
        <v>3.7349999999999999</v>
      </c>
      <c r="E170" s="7">
        <v>0.67500000000000004</v>
      </c>
      <c r="F170" s="7">
        <v>21.645</v>
      </c>
      <c r="G170" s="7">
        <v>116.55</v>
      </c>
      <c r="H170" s="1" t="s">
        <v>58</v>
      </c>
    </row>
    <row r="171" spans="1:8" ht="15.95" customHeight="1">
      <c r="A171" s="41"/>
      <c r="B171" s="5" t="s">
        <v>1</v>
      </c>
      <c r="C171" s="15">
        <v>50</v>
      </c>
      <c r="D171" s="7">
        <v>3.7999999999999994</v>
      </c>
      <c r="E171" s="7">
        <v>0.45</v>
      </c>
      <c r="F171" s="7">
        <v>24.75</v>
      </c>
      <c r="G171" s="7">
        <v>135</v>
      </c>
      <c r="H171" s="1" t="s">
        <v>59</v>
      </c>
    </row>
    <row r="172" spans="1:8" s="20" customFormat="1" ht="15.95" customHeight="1">
      <c r="A172" s="42" t="s">
        <v>46</v>
      </c>
      <c r="B172" s="43"/>
      <c r="C172" s="3">
        <f>SUM(C165:C171)</f>
        <v>798</v>
      </c>
      <c r="D172" s="4">
        <f>SUM(D165:D171)</f>
        <v>27.8581</v>
      </c>
      <c r="E172" s="4">
        <f>SUM(E165:E171)</f>
        <v>22.004300000000001</v>
      </c>
      <c r="F172" s="4">
        <f>SUM(F165:F171)</f>
        <v>120.0365</v>
      </c>
      <c r="G172" s="4">
        <f>SUM(G165:G171)</f>
        <v>856.61199999999997</v>
      </c>
      <c r="H172" s="6"/>
    </row>
    <row r="173" spans="1:8" s="20" customFormat="1" ht="15.95" customHeight="1">
      <c r="A173" s="51" t="s">
        <v>136</v>
      </c>
      <c r="B173" s="5" t="s">
        <v>9</v>
      </c>
      <c r="C173" s="35">
        <v>1.8</v>
      </c>
      <c r="D173" s="19">
        <v>0</v>
      </c>
      <c r="E173" s="19">
        <v>0</v>
      </c>
      <c r="F173" s="19">
        <v>0</v>
      </c>
      <c r="G173" s="19">
        <v>0</v>
      </c>
      <c r="H173" s="6"/>
    </row>
    <row r="174" spans="1:8" s="20" customFormat="1" ht="15.95" customHeight="1">
      <c r="A174" s="52"/>
      <c r="B174" s="5" t="s">
        <v>137</v>
      </c>
      <c r="C174" s="36">
        <v>0.06</v>
      </c>
      <c r="D174" s="19">
        <f>0.0006/10</f>
        <v>5.9999999999999995E-5</v>
      </c>
      <c r="E174" s="19">
        <f>0.0006/10</f>
        <v>5.9999999999999995E-5</v>
      </c>
      <c r="F174" s="19">
        <f>0.57468/10</f>
        <v>5.7467999999999998E-2</v>
      </c>
      <c r="G174" s="19">
        <f>1.39038/10</f>
        <v>0.13903799999999999</v>
      </c>
      <c r="H174" s="6"/>
    </row>
    <row r="175" spans="1:8" ht="15.95" customHeight="1">
      <c r="A175" s="48" t="s">
        <v>129</v>
      </c>
      <c r="B175" s="49"/>
      <c r="C175" s="50"/>
      <c r="D175" s="4">
        <f>D164+D172+D173+D174</f>
        <v>45.742582222222218</v>
      </c>
      <c r="E175" s="4">
        <f>E164+E172+E173+E174</f>
        <v>46.458582222222226</v>
      </c>
      <c r="F175" s="4">
        <f>F164+F172+F173+F174</f>
        <v>193.078768</v>
      </c>
      <c r="G175" s="4">
        <f>G164+G172+G173+G174</f>
        <v>1390.254926888889</v>
      </c>
      <c r="H175" s="1"/>
    </row>
    <row r="176" spans="1:8" ht="15.95" customHeight="1">
      <c r="A176" s="9"/>
      <c r="B176" s="9"/>
      <c r="C176" s="13"/>
      <c r="D176" s="14"/>
      <c r="E176" s="14"/>
      <c r="F176" s="14"/>
      <c r="G176" s="14"/>
      <c r="H176" s="8"/>
    </row>
    <row r="177" spans="1:8" ht="15.95" customHeight="1">
      <c r="A177" s="9"/>
      <c r="B177" s="9"/>
      <c r="C177" s="13"/>
      <c r="D177" s="14"/>
      <c r="E177" s="14"/>
      <c r="F177" s="14"/>
      <c r="G177" s="14"/>
      <c r="H177" s="8"/>
    </row>
    <row r="178" spans="1:8" ht="15.95" customHeight="1">
      <c r="A178" s="9"/>
      <c r="B178" s="9"/>
      <c r="C178" s="13"/>
      <c r="D178" s="14"/>
      <c r="E178" s="14"/>
      <c r="F178" s="14"/>
      <c r="G178" s="14"/>
      <c r="H178" s="8"/>
    </row>
    <row r="179" spans="1:8" ht="15.95" customHeight="1">
      <c r="A179" s="9"/>
      <c r="B179" s="9"/>
      <c r="C179" s="13"/>
      <c r="D179" s="14"/>
      <c r="E179" s="14"/>
      <c r="F179" s="14"/>
      <c r="G179" s="14"/>
      <c r="H179" s="8"/>
    </row>
    <row r="180" spans="1:8" ht="15.95" customHeight="1">
      <c r="A180" s="9"/>
      <c r="B180" s="9"/>
      <c r="C180" s="13"/>
      <c r="D180" s="14"/>
      <c r="E180" s="14"/>
      <c r="F180" s="14"/>
      <c r="G180" s="14"/>
      <c r="H180" s="8"/>
    </row>
    <row r="181" spans="1:8" ht="15.95" customHeight="1">
      <c r="A181" s="9"/>
      <c r="B181" s="9"/>
      <c r="C181" s="13"/>
      <c r="D181" s="22"/>
      <c r="E181" s="22"/>
      <c r="F181" s="22"/>
      <c r="G181" s="22"/>
      <c r="H181" s="8"/>
    </row>
    <row r="182" spans="1:8" ht="15.95" customHeight="1">
      <c r="A182" s="9"/>
      <c r="B182" s="9"/>
      <c r="C182" s="13"/>
      <c r="D182" s="14"/>
      <c r="E182" s="14"/>
      <c r="F182" s="14"/>
      <c r="G182" s="14"/>
      <c r="H182" s="8"/>
    </row>
    <row r="183" spans="1:8" ht="15.95" customHeight="1">
      <c r="A183" s="9"/>
      <c r="B183" s="9"/>
      <c r="C183" s="13"/>
      <c r="D183" s="14"/>
      <c r="E183" s="14"/>
      <c r="F183" s="14"/>
      <c r="G183" s="14"/>
      <c r="H183" s="8"/>
    </row>
    <row r="184" spans="1:8" ht="15.95" customHeight="1">
      <c r="A184" s="9"/>
      <c r="B184" s="9"/>
      <c r="C184" s="13"/>
      <c r="D184" s="14"/>
      <c r="E184" s="14"/>
      <c r="F184" s="14"/>
      <c r="G184" s="14"/>
      <c r="H184" s="8"/>
    </row>
    <row r="185" spans="1:8" ht="15.95" customHeight="1">
      <c r="A185" s="9"/>
      <c r="B185" s="9"/>
      <c r="C185" s="13"/>
      <c r="D185" s="14"/>
      <c r="E185" s="14"/>
      <c r="F185" s="14"/>
      <c r="G185" s="14"/>
      <c r="H185" s="8">
        <v>7</v>
      </c>
    </row>
    <row r="186" spans="1:8" ht="15.95" customHeight="1">
      <c r="A186" s="9"/>
      <c r="B186" s="9"/>
      <c r="C186" s="13"/>
      <c r="D186" s="14"/>
      <c r="E186" s="14"/>
      <c r="F186" s="14"/>
      <c r="G186" s="14"/>
      <c r="H186" s="8"/>
    </row>
    <row r="187" spans="1:8" ht="39.950000000000003" customHeight="1">
      <c r="A187" s="60" t="s">
        <v>89</v>
      </c>
      <c r="B187" s="61"/>
      <c r="C187" s="61"/>
      <c r="D187" s="61"/>
      <c r="E187" s="61"/>
      <c r="F187" s="61"/>
      <c r="G187" s="61"/>
      <c r="H187" s="62"/>
    </row>
    <row r="188" spans="1:8" ht="15.95" customHeight="1">
      <c r="A188" s="44" t="s">
        <v>38</v>
      </c>
      <c r="B188" s="45" t="s">
        <v>48</v>
      </c>
      <c r="C188" s="46" t="s">
        <v>39</v>
      </c>
      <c r="D188" s="53" t="s">
        <v>40</v>
      </c>
      <c r="E188" s="54"/>
      <c r="F188" s="55"/>
      <c r="G188" s="56" t="s">
        <v>41</v>
      </c>
      <c r="H188" s="58" t="s">
        <v>42</v>
      </c>
    </row>
    <row r="189" spans="1:8" ht="30" customHeight="1">
      <c r="A189" s="44"/>
      <c r="B189" s="45"/>
      <c r="C189" s="47"/>
      <c r="D189" s="17" t="s">
        <v>43</v>
      </c>
      <c r="E189" s="17" t="s">
        <v>44</v>
      </c>
      <c r="F189" s="18" t="s">
        <v>49</v>
      </c>
      <c r="G189" s="57"/>
      <c r="H189" s="59"/>
    </row>
    <row r="190" spans="1:8" ht="15.95" customHeight="1">
      <c r="A190" s="40" t="s">
        <v>0</v>
      </c>
      <c r="B190" s="5" t="s">
        <v>12</v>
      </c>
      <c r="C190" s="15">
        <v>150</v>
      </c>
      <c r="D190" s="7">
        <v>11.006</v>
      </c>
      <c r="E190" s="7">
        <v>12.167</v>
      </c>
      <c r="F190" s="7">
        <v>10.029999999999999</v>
      </c>
      <c r="G190" s="7">
        <v>194.95</v>
      </c>
      <c r="H190" s="1" t="s">
        <v>61</v>
      </c>
    </row>
    <row r="191" spans="1:8" ht="15.95" customHeight="1">
      <c r="A191" s="41"/>
      <c r="B191" s="5" t="s">
        <v>134</v>
      </c>
      <c r="C191" s="15">
        <v>30</v>
      </c>
      <c r="D191" s="7">
        <v>0.77</v>
      </c>
      <c r="E191" s="7">
        <v>0.105</v>
      </c>
      <c r="F191" s="7">
        <v>2.9750000000000001</v>
      </c>
      <c r="G191" s="7">
        <v>13.3</v>
      </c>
      <c r="H191" s="1" t="s">
        <v>54</v>
      </c>
    </row>
    <row r="192" spans="1:8" ht="15.95" customHeight="1">
      <c r="A192" s="41"/>
      <c r="B192" s="5" t="s">
        <v>7</v>
      </c>
      <c r="C192" s="15">
        <v>40</v>
      </c>
      <c r="D192" s="7">
        <v>4.58</v>
      </c>
      <c r="E192" s="7">
        <v>4.17</v>
      </c>
      <c r="F192" s="7">
        <v>13.85</v>
      </c>
      <c r="G192" s="7">
        <v>117.4</v>
      </c>
      <c r="H192" s="1" t="s">
        <v>51</v>
      </c>
    </row>
    <row r="193" spans="1:8" ht="15.95" customHeight="1">
      <c r="A193" s="41"/>
      <c r="B193" s="5" t="s">
        <v>20</v>
      </c>
      <c r="C193" s="15">
        <v>200</v>
      </c>
      <c r="D193" s="7">
        <v>2.0960000000000001</v>
      </c>
      <c r="E193" s="7">
        <v>4.18</v>
      </c>
      <c r="F193" s="7">
        <v>11.42</v>
      </c>
      <c r="G193" s="7">
        <v>87.71</v>
      </c>
      <c r="H193" s="1" t="s">
        <v>74</v>
      </c>
    </row>
    <row r="194" spans="1:8" ht="15.95" customHeight="1">
      <c r="A194" s="41"/>
      <c r="B194" s="5" t="s">
        <v>2</v>
      </c>
      <c r="C194" s="15">
        <v>100</v>
      </c>
      <c r="D194" s="19">
        <v>1</v>
      </c>
      <c r="E194" s="19">
        <v>0.4</v>
      </c>
      <c r="F194" s="19">
        <v>15.4</v>
      </c>
      <c r="G194" s="23">
        <v>71.5</v>
      </c>
      <c r="H194" s="1" t="s">
        <v>53</v>
      </c>
    </row>
    <row r="195" spans="1:8" s="20" customFormat="1" ht="15.95" customHeight="1">
      <c r="A195" s="42" t="s">
        <v>45</v>
      </c>
      <c r="B195" s="43"/>
      <c r="C195" s="3">
        <f>SUM(C190:C194)</f>
        <v>520</v>
      </c>
      <c r="D195" s="4">
        <f>SUM(D190:D194)</f>
        <v>19.452000000000002</v>
      </c>
      <c r="E195" s="4">
        <f>SUM(E190:E194)</f>
        <v>21.021999999999998</v>
      </c>
      <c r="F195" s="4">
        <f>SUM(F190:F194)</f>
        <v>53.674999999999997</v>
      </c>
      <c r="G195" s="4">
        <f>SUM(G190:G194)</f>
        <v>484.85999999999996</v>
      </c>
      <c r="H195" s="2"/>
    </row>
    <row r="196" spans="1:8" ht="32.1" customHeight="1">
      <c r="A196" s="40" t="s">
        <v>3</v>
      </c>
      <c r="B196" s="5" t="s">
        <v>143</v>
      </c>
      <c r="C196" s="15">
        <v>60</v>
      </c>
      <c r="D196" s="7">
        <v>0.82499999999999996</v>
      </c>
      <c r="E196" s="7">
        <v>2.0550000000000002</v>
      </c>
      <c r="F196" s="7">
        <v>6.6</v>
      </c>
      <c r="G196" s="7">
        <v>49.48</v>
      </c>
      <c r="H196" s="1" t="s">
        <v>90</v>
      </c>
    </row>
    <row r="197" spans="1:8" ht="15.95" customHeight="1">
      <c r="A197" s="41"/>
      <c r="B197" s="5" t="s">
        <v>21</v>
      </c>
      <c r="C197" s="15">
        <v>200</v>
      </c>
      <c r="D197" s="7">
        <v>6.7240000000000002</v>
      </c>
      <c r="E197" s="7">
        <v>3.6227999999999998</v>
      </c>
      <c r="F197" s="7">
        <v>18.22</v>
      </c>
      <c r="G197" s="7">
        <v>152.93899999999999</v>
      </c>
      <c r="H197" s="1" t="s">
        <v>76</v>
      </c>
    </row>
    <row r="198" spans="1:8" ht="15.95" customHeight="1">
      <c r="A198" s="41"/>
      <c r="B198" s="5" t="s">
        <v>31</v>
      </c>
      <c r="C198" s="15">
        <v>90</v>
      </c>
      <c r="D198" s="7">
        <v>11.766</v>
      </c>
      <c r="E198" s="7">
        <v>15.52</v>
      </c>
      <c r="F198" s="7">
        <v>29.151</v>
      </c>
      <c r="G198" s="7">
        <v>265.47000000000003</v>
      </c>
      <c r="H198" s="1" t="s">
        <v>91</v>
      </c>
    </row>
    <row r="199" spans="1:8" ht="15.95" customHeight="1">
      <c r="A199" s="41"/>
      <c r="B199" s="5" t="s">
        <v>23</v>
      </c>
      <c r="C199" s="15">
        <v>150</v>
      </c>
      <c r="D199" s="7">
        <v>2.9649999999999999</v>
      </c>
      <c r="E199" s="7">
        <v>4.8449999999999998</v>
      </c>
      <c r="F199" s="7">
        <v>34.82</v>
      </c>
      <c r="G199" s="7">
        <v>177.25</v>
      </c>
      <c r="H199" s="1" t="s">
        <v>78</v>
      </c>
    </row>
    <row r="200" spans="1:8" ht="15.95" customHeight="1">
      <c r="A200" s="41"/>
      <c r="B200" s="5" t="s">
        <v>16</v>
      </c>
      <c r="C200" s="15">
        <v>200</v>
      </c>
      <c r="D200" s="7">
        <v>0</v>
      </c>
      <c r="E200" s="7">
        <v>0</v>
      </c>
      <c r="F200" s="7">
        <v>11.231999999999999</v>
      </c>
      <c r="G200" s="7">
        <v>41.91</v>
      </c>
      <c r="H200" s="1" t="s">
        <v>66</v>
      </c>
    </row>
    <row r="201" spans="1:8" ht="15.95" customHeight="1">
      <c r="A201" s="41"/>
      <c r="B201" s="5" t="s">
        <v>4</v>
      </c>
      <c r="C201" s="15">
        <v>48</v>
      </c>
      <c r="D201" s="7">
        <v>3.7349999999999999</v>
      </c>
      <c r="E201" s="7">
        <v>0.67500000000000004</v>
      </c>
      <c r="F201" s="7">
        <v>21.645</v>
      </c>
      <c r="G201" s="7">
        <v>116.55</v>
      </c>
      <c r="H201" s="1" t="s">
        <v>58</v>
      </c>
    </row>
    <row r="202" spans="1:8" ht="15.95" customHeight="1">
      <c r="A202" s="41"/>
      <c r="B202" s="5" t="s">
        <v>1</v>
      </c>
      <c r="C202" s="15">
        <v>50</v>
      </c>
      <c r="D202" s="7">
        <v>3.7999999999999994</v>
      </c>
      <c r="E202" s="7">
        <v>0.45</v>
      </c>
      <c r="F202" s="7">
        <v>24.75</v>
      </c>
      <c r="G202" s="7">
        <v>135</v>
      </c>
      <c r="H202" s="1" t="s">
        <v>59</v>
      </c>
    </row>
    <row r="203" spans="1:8" s="20" customFormat="1" ht="15.95" customHeight="1">
      <c r="A203" s="42" t="s">
        <v>46</v>
      </c>
      <c r="B203" s="43"/>
      <c r="C203" s="3">
        <f>SUM(C196:C202)</f>
        <v>798</v>
      </c>
      <c r="D203" s="4">
        <f>SUM(D196:D202)</f>
        <v>29.815000000000001</v>
      </c>
      <c r="E203" s="4">
        <f>SUM(E196:E202)</f>
        <v>27.1678</v>
      </c>
      <c r="F203" s="4">
        <f>SUM(F196:F202)</f>
        <v>146.41800000000001</v>
      </c>
      <c r="G203" s="4">
        <f>SUM(G196:G202)</f>
        <v>938.59899999999993</v>
      </c>
      <c r="H203" s="6"/>
    </row>
    <row r="204" spans="1:8" s="20" customFormat="1" ht="15.95" customHeight="1">
      <c r="A204" s="51" t="s">
        <v>136</v>
      </c>
      <c r="B204" s="5" t="s">
        <v>9</v>
      </c>
      <c r="C204" s="35">
        <v>1.8</v>
      </c>
      <c r="D204" s="19">
        <v>0</v>
      </c>
      <c r="E204" s="19">
        <v>0</v>
      </c>
      <c r="F204" s="19">
        <v>0</v>
      </c>
      <c r="G204" s="19">
        <v>0</v>
      </c>
      <c r="H204" s="6"/>
    </row>
    <row r="205" spans="1:8" s="20" customFormat="1" ht="15.95" customHeight="1">
      <c r="A205" s="52"/>
      <c r="B205" s="5" t="s">
        <v>137</v>
      </c>
      <c r="C205" s="36">
        <v>0.06</v>
      </c>
      <c r="D205" s="19">
        <f>0.0006/10</f>
        <v>5.9999999999999995E-5</v>
      </c>
      <c r="E205" s="19">
        <f>0.0006/10</f>
        <v>5.9999999999999995E-5</v>
      </c>
      <c r="F205" s="19">
        <f>0.57468/10</f>
        <v>5.7467999999999998E-2</v>
      </c>
      <c r="G205" s="19">
        <f>1.39038/10</f>
        <v>0.13903799999999999</v>
      </c>
      <c r="H205" s="6"/>
    </row>
    <row r="206" spans="1:8" ht="15.95" customHeight="1">
      <c r="A206" s="48" t="s">
        <v>130</v>
      </c>
      <c r="B206" s="49"/>
      <c r="C206" s="50"/>
      <c r="D206" s="4">
        <f>D195+D203+D204+D205</f>
        <v>49.267060000000001</v>
      </c>
      <c r="E206" s="4">
        <f>E195+E203+E204+E205</f>
        <v>48.189859999999996</v>
      </c>
      <c r="F206" s="4">
        <f>F195+F203+F204+F205</f>
        <v>200.15046800000002</v>
      </c>
      <c r="G206" s="4">
        <f>G195+G203+G204+G205</f>
        <v>1423.5980379999999</v>
      </c>
      <c r="H206" s="1"/>
    </row>
    <row r="207" spans="1:8" ht="15.95" customHeight="1">
      <c r="A207" s="9"/>
      <c r="B207" s="9"/>
      <c r="C207" s="13"/>
      <c r="D207" s="14"/>
      <c r="E207" s="14"/>
      <c r="F207" s="14"/>
      <c r="G207" s="14"/>
      <c r="H207" s="8"/>
    </row>
    <row r="208" spans="1:8" ht="15.95" customHeight="1">
      <c r="A208" s="9"/>
      <c r="B208" s="9"/>
      <c r="C208" s="13"/>
      <c r="D208" s="14"/>
      <c r="E208" s="14"/>
      <c r="F208" s="14"/>
      <c r="G208" s="14"/>
      <c r="H208" s="8"/>
    </row>
    <row r="209" spans="1:8" ht="15.95" customHeight="1">
      <c r="A209" s="9"/>
      <c r="B209" s="9"/>
      <c r="C209" s="13"/>
      <c r="D209" s="14"/>
      <c r="E209" s="14"/>
      <c r="F209" s="14"/>
      <c r="G209" s="14"/>
      <c r="H209" s="8"/>
    </row>
    <row r="210" spans="1:8" ht="15.95" customHeight="1">
      <c r="A210" s="9"/>
      <c r="B210" s="9"/>
      <c r="C210" s="13"/>
      <c r="D210" s="14"/>
      <c r="E210" s="14"/>
      <c r="F210" s="14"/>
      <c r="G210" s="14"/>
      <c r="H210" s="8"/>
    </row>
    <row r="211" spans="1:8" ht="15.95" customHeight="1">
      <c r="A211" s="9"/>
      <c r="B211" s="9"/>
      <c r="C211" s="13"/>
      <c r="D211" s="14"/>
      <c r="E211" s="14"/>
      <c r="F211" s="14"/>
      <c r="G211" s="14"/>
      <c r="H211" s="8"/>
    </row>
    <row r="212" spans="1:8" ht="15.95" customHeight="1">
      <c r="A212" s="9"/>
      <c r="B212" s="9"/>
      <c r="C212" s="13"/>
      <c r="D212" s="22"/>
      <c r="E212" s="22"/>
      <c r="F212" s="22"/>
      <c r="G212" s="22"/>
      <c r="H212" s="8"/>
    </row>
    <row r="213" spans="1:8" ht="15.95" customHeight="1">
      <c r="A213" s="9"/>
      <c r="B213" s="9"/>
      <c r="C213" s="13"/>
      <c r="D213" s="14"/>
      <c r="E213" s="14"/>
      <c r="F213" s="14"/>
      <c r="G213" s="14"/>
      <c r="H213" s="8"/>
    </row>
    <row r="214" spans="1:8" ht="15.95" customHeight="1">
      <c r="A214" s="9"/>
      <c r="B214" s="9"/>
      <c r="C214" s="13"/>
      <c r="D214" s="14"/>
      <c r="E214" s="14"/>
      <c r="F214" s="14"/>
      <c r="G214" s="14"/>
      <c r="H214" s="8"/>
    </row>
    <row r="215" spans="1:8" ht="15.95" customHeight="1">
      <c r="A215" s="9"/>
      <c r="B215" s="9"/>
      <c r="C215" s="13"/>
      <c r="D215" s="14"/>
      <c r="E215" s="14"/>
      <c r="F215" s="14"/>
      <c r="G215" s="14"/>
      <c r="H215" s="8"/>
    </row>
    <row r="216" spans="1:8" ht="15.95" customHeight="1">
      <c r="A216" s="9"/>
      <c r="B216" s="9"/>
      <c r="C216" s="13"/>
      <c r="D216" s="14"/>
      <c r="E216" s="14"/>
      <c r="F216" s="14"/>
      <c r="G216" s="14"/>
      <c r="H216" s="8">
        <v>8</v>
      </c>
    </row>
    <row r="217" spans="1:8" ht="15.95" customHeight="1">
      <c r="A217" s="9"/>
      <c r="B217" s="9"/>
      <c r="C217" s="13"/>
      <c r="D217" s="14"/>
      <c r="E217" s="14"/>
      <c r="F217" s="14"/>
      <c r="G217" s="14"/>
      <c r="H217" s="8"/>
    </row>
    <row r="218" spans="1:8" ht="39.950000000000003" customHeight="1">
      <c r="A218" s="60" t="s">
        <v>92</v>
      </c>
      <c r="B218" s="61"/>
      <c r="C218" s="61"/>
      <c r="D218" s="61"/>
      <c r="E218" s="61"/>
      <c r="F218" s="61"/>
      <c r="G218" s="61"/>
      <c r="H218" s="62"/>
    </row>
    <row r="219" spans="1:8" ht="15.95" customHeight="1">
      <c r="A219" s="44" t="s">
        <v>38</v>
      </c>
      <c r="B219" s="45" t="s">
        <v>48</v>
      </c>
      <c r="C219" s="46" t="s">
        <v>39</v>
      </c>
      <c r="D219" s="63" t="s">
        <v>40</v>
      </c>
      <c r="E219" s="64"/>
      <c r="F219" s="65"/>
      <c r="G219" s="66" t="s">
        <v>41</v>
      </c>
      <c r="H219" s="58" t="s">
        <v>42</v>
      </c>
    </row>
    <row r="220" spans="1:8" ht="30" customHeight="1">
      <c r="A220" s="44"/>
      <c r="B220" s="45"/>
      <c r="C220" s="47"/>
      <c r="D220" s="27" t="s">
        <v>43</v>
      </c>
      <c r="E220" s="27" t="s">
        <v>44</v>
      </c>
      <c r="F220" s="28" t="s">
        <v>49</v>
      </c>
      <c r="G220" s="67"/>
      <c r="H220" s="59"/>
    </row>
    <row r="221" spans="1:8" ht="15.95" customHeight="1">
      <c r="A221" s="40" t="s">
        <v>0</v>
      </c>
      <c r="B221" s="5" t="s">
        <v>106</v>
      </c>
      <c r="C221" s="15">
        <v>200</v>
      </c>
      <c r="D221" s="7">
        <v>5.95</v>
      </c>
      <c r="E221" s="7">
        <v>6.1479999999999997</v>
      </c>
      <c r="F221" s="7">
        <v>23.481000000000002</v>
      </c>
      <c r="G221" s="7">
        <v>150.66</v>
      </c>
      <c r="H221" s="1" t="s">
        <v>119</v>
      </c>
    </row>
    <row r="222" spans="1:8" ht="15.95" customHeight="1">
      <c r="A222" s="41"/>
      <c r="B222" s="5" t="s">
        <v>13</v>
      </c>
      <c r="C222" s="15">
        <v>40</v>
      </c>
      <c r="D222" s="7">
        <f>1.95*40/35</f>
        <v>2.2285714285714286</v>
      </c>
      <c r="E222" s="7">
        <f>6.475*40/35</f>
        <v>7.4</v>
      </c>
      <c r="F222" s="7">
        <v>15.66</v>
      </c>
      <c r="G222" s="7">
        <f>84.3*40/35</f>
        <v>96.342857142857142</v>
      </c>
      <c r="H222" s="1" t="s">
        <v>62</v>
      </c>
    </row>
    <row r="223" spans="1:8" ht="15.95" customHeight="1">
      <c r="A223" s="41"/>
      <c r="B223" s="5" t="s">
        <v>2</v>
      </c>
      <c r="C223" s="15">
        <v>100</v>
      </c>
      <c r="D223" s="7">
        <v>1</v>
      </c>
      <c r="E223" s="7">
        <v>0.4</v>
      </c>
      <c r="F223" s="7">
        <v>15.4</v>
      </c>
      <c r="G223" s="7">
        <v>71.5</v>
      </c>
      <c r="H223" s="1" t="s">
        <v>53</v>
      </c>
    </row>
    <row r="224" spans="1:8" ht="15.95" customHeight="1">
      <c r="A224" s="41"/>
      <c r="B224" s="5" t="s">
        <v>8</v>
      </c>
      <c r="C224" s="15">
        <v>200</v>
      </c>
      <c r="D224" s="7">
        <v>1.6105</v>
      </c>
      <c r="E224" s="7">
        <v>3.58</v>
      </c>
      <c r="F224" s="7">
        <v>11.250999999999999</v>
      </c>
      <c r="G224" s="7">
        <v>82.07</v>
      </c>
      <c r="H224" s="1" t="s">
        <v>52</v>
      </c>
    </row>
    <row r="225" spans="1:8" s="20" customFormat="1" ht="15.95" customHeight="1">
      <c r="A225" s="42" t="s">
        <v>45</v>
      </c>
      <c r="B225" s="43"/>
      <c r="C225" s="3">
        <f>SUM(C221:C224)</f>
        <v>540</v>
      </c>
      <c r="D225" s="4">
        <f>SUM(D221:D224)</f>
        <v>10.789071428571429</v>
      </c>
      <c r="E225" s="4">
        <f>SUM(E221:E224)</f>
        <v>17.527999999999999</v>
      </c>
      <c r="F225" s="4">
        <f>SUM(F221:F224)</f>
        <v>65.792000000000002</v>
      </c>
      <c r="G225" s="4">
        <f>SUM(G221:G224)</f>
        <v>400.57285714285712</v>
      </c>
      <c r="H225" s="6"/>
    </row>
    <row r="226" spans="1:8" ht="32.1" customHeight="1">
      <c r="A226" s="40" t="s">
        <v>3</v>
      </c>
      <c r="B226" s="5" t="s">
        <v>144</v>
      </c>
      <c r="C226" s="15">
        <v>60</v>
      </c>
      <c r="D226" s="7">
        <v>1.43</v>
      </c>
      <c r="E226" s="7">
        <v>0.19500000000000001</v>
      </c>
      <c r="F226" s="7">
        <v>5.5250000000000004</v>
      </c>
      <c r="G226" s="7">
        <v>24.7</v>
      </c>
      <c r="H226" s="1" t="s">
        <v>54</v>
      </c>
    </row>
    <row r="227" spans="1:8" ht="15.95" customHeight="1">
      <c r="A227" s="41"/>
      <c r="B227" s="5" t="s">
        <v>18</v>
      </c>
      <c r="C227" s="15">
        <v>200</v>
      </c>
      <c r="D227" s="7">
        <v>7.1914999999999996</v>
      </c>
      <c r="E227" s="7">
        <v>6.6044999999999998</v>
      </c>
      <c r="F227" s="7">
        <v>20.536000000000001</v>
      </c>
      <c r="G227" s="7">
        <v>171.035</v>
      </c>
      <c r="H227" s="1" t="s">
        <v>69</v>
      </c>
    </row>
    <row r="228" spans="1:8" ht="15.95" customHeight="1">
      <c r="A228" s="41"/>
      <c r="B228" s="5" t="s">
        <v>26</v>
      </c>
      <c r="C228" s="15">
        <v>90</v>
      </c>
      <c r="D228" s="7">
        <v>14.1965</v>
      </c>
      <c r="E228" s="7">
        <v>13.5701</v>
      </c>
      <c r="F228" s="7">
        <v>15.475099999999999</v>
      </c>
      <c r="G228" s="7">
        <v>281.44400000000002</v>
      </c>
      <c r="H228" s="1" t="s">
        <v>120</v>
      </c>
    </row>
    <row r="229" spans="1:8" ht="15.95" customHeight="1">
      <c r="A229" s="41"/>
      <c r="B229" s="5" t="s">
        <v>27</v>
      </c>
      <c r="C229" s="15">
        <v>150</v>
      </c>
      <c r="D229" s="7">
        <v>4.3849999999999998</v>
      </c>
      <c r="E229" s="7">
        <v>7.4749999999999996</v>
      </c>
      <c r="F229" s="7">
        <v>35.81</v>
      </c>
      <c r="G229" s="7">
        <v>221.86</v>
      </c>
      <c r="H229" s="1" t="s">
        <v>83</v>
      </c>
    </row>
    <row r="230" spans="1:8" ht="15.95" customHeight="1">
      <c r="A230" s="41"/>
      <c r="B230" s="5" t="s">
        <v>100</v>
      </c>
      <c r="C230" s="15">
        <v>200</v>
      </c>
      <c r="D230" s="7">
        <v>0.9</v>
      </c>
      <c r="E230" s="7">
        <v>0.08</v>
      </c>
      <c r="F230" s="7">
        <v>7.0488</v>
      </c>
      <c r="G230" s="7">
        <v>36.143999999999998</v>
      </c>
      <c r="H230" s="1" t="s">
        <v>111</v>
      </c>
    </row>
    <row r="231" spans="1:8" ht="15.95" customHeight="1">
      <c r="A231" s="41"/>
      <c r="B231" s="5" t="s">
        <v>4</v>
      </c>
      <c r="C231" s="15">
        <v>48</v>
      </c>
      <c r="D231" s="7">
        <v>3.7349999999999999</v>
      </c>
      <c r="E231" s="7">
        <v>0.67500000000000004</v>
      </c>
      <c r="F231" s="7">
        <v>21.645</v>
      </c>
      <c r="G231" s="7">
        <v>116.55</v>
      </c>
      <c r="H231" s="1" t="s">
        <v>58</v>
      </c>
    </row>
    <row r="232" spans="1:8" ht="15.95" customHeight="1">
      <c r="A232" s="41"/>
      <c r="B232" s="5" t="s">
        <v>1</v>
      </c>
      <c r="C232" s="15">
        <v>50</v>
      </c>
      <c r="D232" s="7">
        <v>3.7999999999999994</v>
      </c>
      <c r="E232" s="7">
        <v>0.45</v>
      </c>
      <c r="F232" s="7">
        <v>24.75</v>
      </c>
      <c r="G232" s="7">
        <v>135</v>
      </c>
      <c r="H232" s="1" t="s">
        <v>59</v>
      </c>
    </row>
    <row r="233" spans="1:8" s="20" customFormat="1" ht="15.95" customHeight="1">
      <c r="A233" s="42" t="s">
        <v>46</v>
      </c>
      <c r="B233" s="43"/>
      <c r="C233" s="3">
        <f>SUM(C226:C232)</f>
        <v>798</v>
      </c>
      <c r="D233" s="4">
        <f>SUM(D226:D232)</f>
        <v>35.637999999999991</v>
      </c>
      <c r="E233" s="4">
        <f>SUM(E226:E232)</f>
        <v>29.049599999999998</v>
      </c>
      <c r="F233" s="4">
        <f>SUM(F226:F232)</f>
        <v>130.78989999999999</v>
      </c>
      <c r="G233" s="4">
        <f>SUM(G226:G232)</f>
        <v>986.73299999999995</v>
      </c>
      <c r="H233" s="6"/>
    </row>
    <row r="234" spans="1:8" s="20" customFormat="1" ht="15.95" customHeight="1">
      <c r="A234" s="51" t="s">
        <v>136</v>
      </c>
      <c r="B234" s="5" t="s">
        <v>9</v>
      </c>
      <c r="C234" s="35">
        <v>1.8</v>
      </c>
      <c r="D234" s="19">
        <v>0</v>
      </c>
      <c r="E234" s="19">
        <v>0</v>
      </c>
      <c r="F234" s="19">
        <v>0</v>
      </c>
      <c r="G234" s="19">
        <v>0</v>
      </c>
      <c r="H234" s="6"/>
    </row>
    <row r="235" spans="1:8" s="20" customFormat="1" ht="15.95" customHeight="1">
      <c r="A235" s="52"/>
      <c r="B235" s="5" t="s">
        <v>137</v>
      </c>
      <c r="C235" s="36">
        <v>0.06</v>
      </c>
      <c r="D235" s="19">
        <f>0.0006/10</f>
        <v>5.9999999999999995E-5</v>
      </c>
      <c r="E235" s="19">
        <f>0.0006/10</f>
        <v>5.9999999999999995E-5</v>
      </c>
      <c r="F235" s="19">
        <f>0.57468/10</f>
        <v>5.7467999999999998E-2</v>
      </c>
      <c r="G235" s="19">
        <f>1.39038/10</f>
        <v>0.13903799999999999</v>
      </c>
      <c r="H235" s="6"/>
    </row>
    <row r="236" spans="1:8" ht="15.95" customHeight="1">
      <c r="A236" s="48" t="s">
        <v>131</v>
      </c>
      <c r="B236" s="49"/>
      <c r="C236" s="50"/>
      <c r="D236" s="4">
        <f>D225+D233+D234+D235</f>
        <v>46.427131428571421</v>
      </c>
      <c r="E236" s="4">
        <f>E225+E233+E234+E235</f>
        <v>46.577659999999995</v>
      </c>
      <c r="F236" s="4">
        <f>F225+F233+F234+F235</f>
        <v>196.63936799999999</v>
      </c>
      <c r="G236" s="4">
        <f>G225+G233+G234+G235</f>
        <v>1387.4448951428571</v>
      </c>
      <c r="H236" s="1"/>
    </row>
    <row r="237" spans="1:8" ht="15.95" customHeight="1">
      <c r="A237" s="9"/>
      <c r="B237" s="9"/>
      <c r="C237" s="13"/>
      <c r="D237" s="14"/>
      <c r="E237" s="14"/>
      <c r="F237" s="14"/>
      <c r="G237" s="14"/>
      <c r="H237" s="8"/>
    </row>
    <row r="238" spans="1:8" ht="15.95" customHeight="1">
      <c r="A238" s="9"/>
      <c r="B238" s="9"/>
      <c r="C238" s="13"/>
      <c r="D238" s="14"/>
      <c r="E238" s="14"/>
      <c r="F238" s="14"/>
      <c r="G238" s="14"/>
      <c r="H238" s="8"/>
    </row>
    <row r="239" spans="1:8" ht="15.95" customHeight="1">
      <c r="A239" s="9"/>
      <c r="B239" s="9"/>
      <c r="C239" s="13"/>
      <c r="D239" s="14"/>
      <c r="E239" s="14"/>
      <c r="F239" s="14"/>
      <c r="G239" s="14"/>
      <c r="H239" s="8"/>
    </row>
    <row r="240" spans="1:8" ht="15.95" customHeight="1">
      <c r="A240" s="9"/>
      <c r="B240" s="9"/>
      <c r="C240" s="13"/>
      <c r="D240" s="14"/>
      <c r="E240" s="14"/>
      <c r="F240" s="14"/>
      <c r="G240" s="14"/>
      <c r="H240" s="8"/>
    </row>
    <row r="241" spans="1:8" ht="15.95" customHeight="1">
      <c r="A241" s="9"/>
      <c r="B241" s="9"/>
      <c r="C241" s="13"/>
      <c r="D241" s="14"/>
      <c r="E241" s="14"/>
      <c r="F241" s="14"/>
      <c r="G241" s="14"/>
      <c r="H241" s="8"/>
    </row>
    <row r="242" spans="1:8" ht="15.95" customHeight="1">
      <c r="A242" s="9"/>
      <c r="B242" s="9"/>
      <c r="C242" s="13"/>
      <c r="D242" s="22"/>
      <c r="E242" s="22"/>
      <c r="F242" s="22"/>
      <c r="G242" s="22"/>
      <c r="H242" s="8"/>
    </row>
    <row r="243" spans="1:8" ht="15.95" customHeight="1">
      <c r="A243" s="9"/>
      <c r="B243" s="9"/>
      <c r="C243" s="13"/>
      <c r="D243" s="14"/>
      <c r="E243" s="14"/>
      <c r="F243" s="14"/>
      <c r="G243" s="14"/>
      <c r="H243" s="8"/>
    </row>
    <row r="244" spans="1:8" ht="15.95" customHeight="1">
      <c r="A244" s="9"/>
      <c r="B244" s="9"/>
      <c r="C244" s="13"/>
      <c r="D244" s="14"/>
      <c r="E244" s="14"/>
      <c r="F244" s="14"/>
      <c r="G244" s="14"/>
      <c r="H244" s="8"/>
    </row>
    <row r="245" spans="1:8" ht="15.95" customHeight="1">
      <c r="A245" s="9"/>
      <c r="B245" s="9"/>
      <c r="C245" s="13"/>
      <c r="D245" s="14"/>
      <c r="E245" s="14"/>
      <c r="F245" s="14"/>
      <c r="G245" s="14"/>
      <c r="H245" s="8"/>
    </row>
    <row r="246" spans="1:8" ht="15.95" customHeight="1">
      <c r="A246" s="9"/>
      <c r="B246" s="9"/>
      <c r="C246" s="13"/>
      <c r="D246" s="14"/>
      <c r="E246" s="14"/>
      <c r="F246" s="14"/>
      <c r="G246" s="14"/>
      <c r="H246" s="8"/>
    </row>
    <row r="247" spans="1:8" ht="15.95" customHeight="1">
      <c r="A247" s="9"/>
      <c r="B247" s="9"/>
      <c r="C247" s="13"/>
      <c r="D247" s="14"/>
      <c r="E247" s="14"/>
      <c r="F247" s="14"/>
      <c r="G247" s="14"/>
      <c r="H247" s="8">
        <v>9</v>
      </c>
    </row>
    <row r="248" spans="1:8" ht="15.95" customHeight="1">
      <c r="A248" s="9"/>
      <c r="B248" s="9"/>
      <c r="C248" s="13"/>
      <c r="D248" s="14"/>
      <c r="E248" s="14"/>
      <c r="F248" s="14"/>
      <c r="G248" s="14"/>
      <c r="H248" s="8"/>
    </row>
    <row r="249" spans="1:8" ht="39.950000000000003" customHeight="1">
      <c r="A249" s="60" t="s">
        <v>93</v>
      </c>
      <c r="B249" s="61"/>
      <c r="C249" s="61"/>
      <c r="D249" s="61"/>
      <c r="E249" s="61"/>
      <c r="F249" s="61"/>
      <c r="G249" s="61"/>
      <c r="H249" s="62"/>
    </row>
    <row r="250" spans="1:8" ht="15.95" customHeight="1">
      <c r="A250" s="44" t="s">
        <v>38</v>
      </c>
      <c r="B250" s="45" t="s">
        <v>48</v>
      </c>
      <c r="C250" s="46" t="s">
        <v>39</v>
      </c>
      <c r="D250" s="53" t="s">
        <v>40</v>
      </c>
      <c r="E250" s="54"/>
      <c r="F250" s="55"/>
      <c r="G250" s="56" t="s">
        <v>41</v>
      </c>
      <c r="H250" s="58" t="s">
        <v>42</v>
      </c>
    </row>
    <row r="251" spans="1:8" ht="30" customHeight="1">
      <c r="A251" s="44"/>
      <c r="B251" s="45"/>
      <c r="C251" s="47"/>
      <c r="D251" s="17" t="s">
        <v>43</v>
      </c>
      <c r="E251" s="17" t="s">
        <v>44</v>
      </c>
      <c r="F251" s="18" t="s">
        <v>49</v>
      </c>
      <c r="G251" s="57"/>
      <c r="H251" s="59"/>
    </row>
    <row r="252" spans="1:8" ht="32.1" customHeight="1">
      <c r="A252" s="40" t="s">
        <v>0</v>
      </c>
      <c r="B252" s="5" t="s">
        <v>32</v>
      </c>
      <c r="C252" s="15">
        <v>155</v>
      </c>
      <c r="D252" s="7">
        <v>11.295999999999999</v>
      </c>
      <c r="E252" s="7">
        <v>14.981999999999999</v>
      </c>
      <c r="F252" s="7">
        <v>35.573</v>
      </c>
      <c r="G252" s="7">
        <v>329.255</v>
      </c>
      <c r="H252" s="1" t="s">
        <v>94</v>
      </c>
    </row>
    <row r="253" spans="1:8" ht="15.95" customHeight="1">
      <c r="A253" s="41"/>
      <c r="B253" s="5" t="s">
        <v>25</v>
      </c>
      <c r="C253" s="15">
        <v>50</v>
      </c>
      <c r="D253" s="7">
        <f>4.25*50/45</f>
        <v>4.7222222222222223</v>
      </c>
      <c r="E253" s="7">
        <f>9.38*50/45</f>
        <v>10.422222222222224</v>
      </c>
      <c r="F253" s="7">
        <v>18.39</v>
      </c>
      <c r="G253" s="7">
        <f>118.7*50/45</f>
        <v>131.88888888888889</v>
      </c>
      <c r="H253" s="1" t="s">
        <v>86</v>
      </c>
    </row>
    <row r="254" spans="1:8" ht="15.95" customHeight="1">
      <c r="A254" s="41"/>
      <c r="B254" s="5" t="s">
        <v>2</v>
      </c>
      <c r="C254" s="15">
        <v>100</v>
      </c>
      <c r="D254" s="7">
        <v>1</v>
      </c>
      <c r="E254" s="7">
        <v>0.4</v>
      </c>
      <c r="F254" s="7">
        <v>15.4</v>
      </c>
      <c r="G254" s="7">
        <v>71.5</v>
      </c>
      <c r="H254" s="1" t="s">
        <v>53</v>
      </c>
    </row>
    <row r="255" spans="1:8" ht="15.95" customHeight="1">
      <c r="A255" s="41"/>
      <c r="B255" s="5" t="s">
        <v>14</v>
      </c>
      <c r="C255" s="15">
        <v>200</v>
      </c>
      <c r="D255" s="7">
        <v>1.736</v>
      </c>
      <c r="E255" s="7">
        <v>4.0204000000000004</v>
      </c>
      <c r="F255" s="7">
        <v>11.459</v>
      </c>
      <c r="G255" s="7">
        <v>84.846000000000004</v>
      </c>
      <c r="H255" s="1" t="s">
        <v>63</v>
      </c>
    </row>
    <row r="256" spans="1:8" s="20" customFormat="1" ht="15.95" customHeight="1">
      <c r="A256" s="42" t="s">
        <v>45</v>
      </c>
      <c r="B256" s="43"/>
      <c r="C256" s="3">
        <f>SUM(C252:C255)</f>
        <v>505</v>
      </c>
      <c r="D256" s="4">
        <f>SUM(D252:D255)</f>
        <v>18.754222222222221</v>
      </c>
      <c r="E256" s="4">
        <f>SUM(E252:E255)</f>
        <v>29.824622222222224</v>
      </c>
      <c r="F256" s="4">
        <f>SUM(F252:F255)</f>
        <v>80.822000000000003</v>
      </c>
      <c r="G256" s="4">
        <f>SUM(G252:G255)</f>
        <v>617.48988888888891</v>
      </c>
      <c r="H256" s="6"/>
    </row>
    <row r="257" spans="1:8" ht="32.1" customHeight="1">
      <c r="A257" s="40" t="s">
        <v>3</v>
      </c>
      <c r="B257" s="5" t="s">
        <v>140</v>
      </c>
      <c r="C257" s="15">
        <v>60</v>
      </c>
      <c r="D257" s="7">
        <v>0.504</v>
      </c>
      <c r="E257" s="7">
        <v>6.3E-2</v>
      </c>
      <c r="F257" s="7">
        <v>1.071</v>
      </c>
      <c r="G257" s="7">
        <v>8.19</v>
      </c>
      <c r="H257" s="1" t="s">
        <v>95</v>
      </c>
    </row>
    <row r="258" spans="1:8" ht="15.95" customHeight="1">
      <c r="A258" s="41"/>
      <c r="B258" s="5" t="s">
        <v>33</v>
      </c>
      <c r="C258" s="15">
        <v>200</v>
      </c>
      <c r="D258" s="7">
        <v>4.9821999999999997</v>
      </c>
      <c r="E258" s="7">
        <v>6.5446</v>
      </c>
      <c r="F258" s="7">
        <v>18.578499999999998</v>
      </c>
      <c r="G258" s="7">
        <v>159.30799999999999</v>
      </c>
      <c r="H258" s="1" t="s">
        <v>82</v>
      </c>
    </row>
    <row r="259" spans="1:8" ht="15.95" customHeight="1">
      <c r="A259" s="41"/>
      <c r="B259" s="5" t="s">
        <v>34</v>
      </c>
      <c r="C259" s="15">
        <v>90</v>
      </c>
      <c r="D259" s="7">
        <v>11.297599999999999</v>
      </c>
      <c r="E259" s="7">
        <v>5.7092000000000001</v>
      </c>
      <c r="F259" s="7">
        <v>11.450699999999999</v>
      </c>
      <c r="G259" s="7">
        <v>178.76300000000001</v>
      </c>
      <c r="H259" s="1" t="s">
        <v>96</v>
      </c>
    </row>
    <row r="260" spans="1:8" ht="15.95" customHeight="1">
      <c r="A260" s="41"/>
      <c r="B260" s="5" t="s">
        <v>19</v>
      </c>
      <c r="C260" s="15">
        <v>150</v>
      </c>
      <c r="D260" s="7">
        <v>5.3624999999999998</v>
      </c>
      <c r="E260" s="7">
        <v>5.1548999999999996</v>
      </c>
      <c r="F260" s="7">
        <v>30.13</v>
      </c>
      <c r="G260" s="7">
        <v>188.25800000000001</v>
      </c>
      <c r="H260" s="1" t="s">
        <v>71</v>
      </c>
    </row>
    <row r="261" spans="1:8" ht="15.95" customHeight="1">
      <c r="A261" s="41"/>
      <c r="B261" s="5" t="s">
        <v>24</v>
      </c>
      <c r="C261" s="15">
        <v>200</v>
      </c>
      <c r="D261" s="7">
        <v>0.108</v>
      </c>
      <c r="E261" s="7">
        <v>0.108</v>
      </c>
      <c r="F261" s="7">
        <v>11.628</v>
      </c>
      <c r="G261" s="7">
        <v>47.898000000000003</v>
      </c>
      <c r="H261" s="1" t="s">
        <v>79</v>
      </c>
    </row>
    <row r="262" spans="1:8" ht="15.95" customHeight="1">
      <c r="A262" s="41"/>
      <c r="B262" s="5" t="s">
        <v>4</v>
      </c>
      <c r="C262" s="15">
        <v>48</v>
      </c>
      <c r="D262" s="7">
        <v>3.7349999999999999</v>
      </c>
      <c r="E262" s="7">
        <v>0.67500000000000004</v>
      </c>
      <c r="F262" s="7">
        <v>21.645</v>
      </c>
      <c r="G262" s="7">
        <v>116.55</v>
      </c>
      <c r="H262" s="1" t="s">
        <v>58</v>
      </c>
    </row>
    <row r="263" spans="1:8" ht="15.95" customHeight="1">
      <c r="A263" s="41"/>
      <c r="B263" s="5" t="s">
        <v>1</v>
      </c>
      <c r="C263" s="15">
        <v>50</v>
      </c>
      <c r="D263" s="7">
        <v>3.7999999999999994</v>
      </c>
      <c r="E263" s="7">
        <v>0.45</v>
      </c>
      <c r="F263" s="7">
        <v>24.75</v>
      </c>
      <c r="G263" s="7">
        <v>135</v>
      </c>
      <c r="H263" s="1" t="s">
        <v>59</v>
      </c>
    </row>
    <row r="264" spans="1:8" s="20" customFormat="1" ht="15.95" customHeight="1">
      <c r="A264" s="42" t="s">
        <v>46</v>
      </c>
      <c r="B264" s="43"/>
      <c r="C264" s="3">
        <f>SUM(C257:C263)</f>
        <v>798</v>
      </c>
      <c r="D264" s="4">
        <f>SUM(D257:D263)</f>
        <v>29.789300000000001</v>
      </c>
      <c r="E264" s="4">
        <f>SUM(E257:E263)</f>
        <v>18.704699999999999</v>
      </c>
      <c r="F264" s="4">
        <f>SUM(F257:F263)</f>
        <v>119.25319999999999</v>
      </c>
      <c r="G264" s="4">
        <f>SUM(G257:G263)</f>
        <v>833.96699999999998</v>
      </c>
      <c r="H264" s="6"/>
    </row>
    <row r="265" spans="1:8" s="20" customFormat="1" ht="15.95" customHeight="1">
      <c r="A265" s="51" t="s">
        <v>136</v>
      </c>
      <c r="B265" s="5" t="s">
        <v>9</v>
      </c>
      <c r="C265" s="35">
        <v>1.8</v>
      </c>
      <c r="D265" s="19">
        <v>0</v>
      </c>
      <c r="E265" s="19">
        <v>0</v>
      </c>
      <c r="F265" s="19">
        <v>0</v>
      </c>
      <c r="G265" s="19">
        <v>0</v>
      </c>
      <c r="H265" s="6"/>
    </row>
    <row r="266" spans="1:8" s="20" customFormat="1" ht="15.95" customHeight="1">
      <c r="A266" s="52"/>
      <c r="B266" s="5" t="s">
        <v>137</v>
      </c>
      <c r="C266" s="36">
        <v>0.06</v>
      </c>
      <c r="D266" s="19">
        <f>0.0006/10</f>
        <v>5.9999999999999995E-5</v>
      </c>
      <c r="E266" s="19">
        <f>0.0006/10</f>
        <v>5.9999999999999995E-5</v>
      </c>
      <c r="F266" s="19">
        <f>0.57468/10</f>
        <v>5.7467999999999998E-2</v>
      </c>
      <c r="G266" s="19">
        <f>1.39038/10</f>
        <v>0.13903799999999999</v>
      </c>
      <c r="H266" s="6"/>
    </row>
    <row r="267" spans="1:8" ht="15.95" customHeight="1">
      <c r="A267" s="48" t="s">
        <v>132</v>
      </c>
      <c r="B267" s="49"/>
      <c r="C267" s="50"/>
      <c r="D267" s="4">
        <f>D256+D264+D265+D266</f>
        <v>48.54358222222222</v>
      </c>
      <c r="E267" s="4">
        <f>E256+E264+E265+E266</f>
        <v>48.529382222222218</v>
      </c>
      <c r="F267" s="4">
        <f>F256+F264+F265+F266</f>
        <v>200.132668</v>
      </c>
      <c r="G267" s="4">
        <f>G256+G264+G265+G266</f>
        <v>1451.5959268888889</v>
      </c>
      <c r="H267" s="1"/>
    </row>
    <row r="268" spans="1:8" ht="15.95" customHeight="1">
      <c r="A268" s="9"/>
      <c r="B268" s="9"/>
      <c r="C268" s="13"/>
      <c r="D268" s="14"/>
      <c r="E268" s="14"/>
      <c r="F268" s="14"/>
      <c r="G268" s="14"/>
      <c r="H268" s="8"/>
    </row>
    <row r="269" spans="1:8" ht="15.95" customHeight="1">
      <c r="A269" s="9"/>
      <c r="B269" s="9"/>
      <c r="C269" s="13"/>
      <c r="D269" s="14"/>
      <c r="E269" s="14"/>
      <c r="F269" s="14"/>
      <c r="G269" s="14"/>
      <c r="H269" s="8"/>
    </row>
    <row r="270" spans="1:8" ht="15.95" customHeight="1">
      <c r="A270" s="9"/>
      <c r="B270" s="9"/>
      <c r="C270" s="13"/>
      <c r="D270" s="14"/>
      <c r="E270" s="14"/>
      <c r="F270" s="14"/>
      <c r="G270" s="14"/>
      <c r="H270" s="8"/>
    </row>
    <row r="271" spans="1:8" ht="15.95" customHeight="1">
      <c r="A271" s="9"/>
      <c r="B271" s="9"/>
      <c r="C271" s="13"/>
      <c r="D271" s="14"/>
      <c r="E271" s="14"/>
      <c r="F271" s="14"/>
      <c r="G271" s="14"/>
      <c r="H271" s="8"/>
    </row>
    <row r="272" spans="1:8" ht="15.95" customHeight="1">
      <c r="A272" s="9"/>
      <c r="B272" s="9"/>
      <c r="C272" s="13"/>
      <c r="D272" s="14"/>
      <c r="E272" s="14"/>
      <c r="F272" s="14"/>
      <c r="G272" s="14"/>
      <c r="H272" s="8"/>
    </row>
    <row r="273" spans="1:8" ht="15.95" customHeight="1">
      <c r="A273" s="9"/>
      <c r="B273" s="9"/>
      <c r="C273" s="13"/>
      <c r="D273" s="22"/>
      <c r="E273" s="22"/>
      <c r="F273" s="22"/>
      <c r="G273" s="22"/>
      <c r="H273" s="8"/>
    </row>
    <row r="274" spans="1:8" ht="15.95" customHeight="1">
      <c r="A274" s="9"/>
      <c r="B274" s="9"/>
      <c r="C274" s="13"/>
      <c r="D274" s="14"/>
      <c r="E274" s="14"/>
      <c r="F274" s="14"/>
      <c r="G274" s="14"/>
      <c r="H274" s="8"/>
    </row>
    <row r="275" spans="1:8" ht="15.95" customHeight="1">
      <c r="A275" s="9"/>
      <c r="B275" s="9"/>
      <c r="C275" s="13"/>
      <c r="D275" s="14"/>
      <c r="E275" s="14"/>
      <c r="F275" s="14"/>
      <c r="G275" s="14"/>
      <c r="H275" s="8"/>
    </row>
    <row r="276" spans="1:8" s="8" customFormat="1" ht="15.95" customHeight="1">
      <c r="A276" s="9"/>
      <c r="B276" s="10"/>
      <c r="C276" s="11"/>
      <c r="D276" s="12"/>
      <c r="E276" s="12"/>
      <c r="F276" s="12"/>
      <c r="G276" s="12"/>
    </row>
    <row r="277" spans="1:8" s="8" customFormat="1" ht="15.95" customHeight="1">
      <c r="A277" s="9"/>
      <c r="B277" s="10"/>
      <c r="C277" s="11"/>
      <c r="D277" s="12"/>
      <c r="E277" s="12"/>
      <c r="F277" s="12"/>
      <c r="G277" s="12"/>
      <c r="H277" s="8">
        <v>10</v>
      </c>
    </row>
    <row r="278" spans="1:8" s="8" customFormat="1" ht="15.95" customHeight="1">
      <c r="A278" s="9"/>
      <c r="B278" s="9"/>
      <c r="C278" s="13"/>
      <c r="D278" s="14"/>
      <c r="E278" s="14"/>
      <c r="F278" s="14"/>
      <c r="G278" s="14"/>
    </row>
    <row r="279" spans="1:8" ht="39.950000000000003" customHeight="1">
      <c r="A279" s="60" t="s">
        <v>97</v>
      </c>
      <c r="B279" s="61"/>
      <c r="C279" s="61"/>
      <c r="D279" s="61"/>
      <c r="E279" s="61"/>
      <c r="F279" s="61"/>
      <c r="G279" s="61"/>
      <c r="H279" s="62"/>
    </row>
    <row r="280" spans="1:8" ht="15.95" customHeight="1">
      <c r="A280" s="44" t="s">
        <v>38</v>
      </c>
      <c r="B280" s="45" t="s">
        <v>48</v>
      </c>
      <c r="C280" s="46" t="s">
        <v>39</v>
      </c>
      <c r="D280" s="53" t="s">
        <v>40</v>
      </c>
      <c r="E280" s="54"/>
      <c r="F280" s="55"/>
      <c r="G280" s="56" t="s">
        <v>41</v>
      </c>
      <c r="H280" s="58" t="s">
        <v>42</v>
      </c>
    </row>
    <row r="281" spans="1:8" ht="30" customHeight="1">
      <c r="A281" s="44"/>
      <c r="B281" s="45"/>
      <c r="C281" s="47"/>
      <c r="D281" s="17" t="s">
        <v>43</v>
      </c>
      <c r="E281" s="17" t="s">
        <v>44</v>
      </c>
      <c r="F281" s="18" t="s">
        <v>49</v>
      </c>
      <c r="G281" s="57"/>
      <c r="H281" s="59"/>
    </row>
    <row r="282" spans="1:8" ht="15.95" customHeight="1">
      <c r="A282" s="40" t="s">
        <v>0</v>
      </c>
      <c r="B282" s="5" t="s">
        <v>23</v>
      </c>
      <c r="C282" s="15">
        <v>100</v>
      </c>
      <c r="D282" s="7">
        <v>1.98</v>
      </c>
      <c r="E282" s="7">
        <v>3.2</v>
      </c>
      <c r="F282" s="7">
        <v>23.213333333333335</v>
      </c>
      <c r="G282" s="7">
        <v>118.16666666666667</v>
      </c>
      <c r="H282" s="1" t="s">
        <v>78</v>
      </c>
    </row>
    <row r="283" spans="1:8" ht="15.95" customHeight="1">
      <c r="A283" s="41"/>
      <c r="B283" s="5" t="s">
        <v>31</v>
      </c>
      <c r="C283" s="15">
        <v>80</v>
      </c>
      <c r="D283" s="7">
        <v>9.4586666666666996</v>
      </c>
      <c r="E283" s="7">
        <v>13.79</v>
      </c>
      <c r="F283" s="7">
        <v>25.911999999999999</v>
      </c>
      <c r="G283" s="7">
        <v>235.97300000000001</v>
      </c>
      <c r="H283" s="1" t="s">
        <v>91</v>
      </c>
    </row>
    <row r="284" spans="1:8" ht="15.95" customHeight="1">
      <c r="A284" s="41"/>
      <c r="B284" s="5" t="s">
        <v>17</v>
      </c>
      <c r="C284" s="15">
        <v>200</v>
      </c>
      <c r="D284" s="7">
        <v>6.9999999999999999E-4</v>
      </c>
      <c r="E284" s="7">
        <v>0</v>
      </c>
      <c r="F284" s="7">
        <v>7.0350000000000001</v>
      </c>
      <c r="G284" s="7">
        <v>28.126000000000001</v>
      </c>
      <c r="H284" s="1" t="s">
        <v>68</v>
      </c>
    </row>
    <row r="285" spans="1:8" ht="15.95" customHeight="1">
      <c r="A285" s="41"/>
      <c r="B285" s="5" t="s">
        <v>2</v>
      </c>
      <c r="C285" s="15">
        <v>100</v>
      </c>
      <c r="D285" s="7">
        <v>1</v>
      </c>
      <c r="E285" s="7">
        <v>0.4</v>
      </c>
      <c r="F285" s="7">
        <v>15.4</v>
      </c>
      <c r="G285" s="7">
        <v>71.5</v>
      </c>
      <c r="H285" s="1" t="s">
        <v>53</v>
      </c>
    </row>
    <row r="286" spans="1:8" ht="15.95" customHeight="1">
      <c r="A286" s="41"/>
      <c r="B286" s="5" t="s">
        <v>1</v>
      </c>
      <c r="C286" s="15">
        <v>30</v>
      </c>
      <c r="D286" s="7">
        <v>2.2799999999999998</v>
      </c>
      <c r="E286" s="7">
        <v>0.27</v>
      </c>
      <c r="F286" s="7">
        <v>14.85</v>
      </c>
      <c r="G286" s="7">
        <v>81</v>
      </c>
      <c r="H286" s="1" t="s">
        <v>59</v>
      </c>
    </row>
    <row r="287" spans="1:8" s="20" customFormat="1" ht="15.95" customHeight="1">
      <c r="A287" s="42" t="s">
        <v>45</v>
      </c>
      <c r="B287" s="43"/>
      <c r="C287" s="3">
        <f>SUM(C282:C286)</f>
        <v>510</v>
      </c>
      <c r="D287" s="4">
        <f>SUM(D282:D286)</f>
        <v>14.7193666666667</v>
      </c>
      <c r="E287" s="4">
        <f>SUM(E282:E286)</f>
        <v>17.659999999999997</v>
      </c>
      <c r="F287" s="4">
        <f>SUM(F282:F286)</f>
        <v>86.410333333333327</v>
      </c>
      <c r="G287" s="4">
        <f>SUM(G282:G286)</f>
        <v>534.76566666666668</v>
      </c>
      <c r="H287" s="6"/>
    </row>
    <row r="288" spans="1:8" ht="15.95" customHeight="1">
      <c r="A288" s="41" t="s">
        <v>3</v>
      </c>
      <c r="B288" s="5" t="s">
        <v>5</v>
      </c>
      <c r="C288" s="15">
        <v>60</v>
      </c>
      <c r="D288" s="7">
        <v>0.96</v>
      </c>
      <c r="E288" s="7">
        <v>3.78</v>
      </c>
      <c r="F288" s="7">
        <v>4.4400000000000004</v>
      </c>
      <c r="G288" s="7">
        <v>54.48</v>
      </c>
      <c r="H288" s="1" t="s">
        <v>112</v>
      </c>
    </row>
    <row r="289" spans="1:8" ht="32.1" customHeight="1">
      <c r="A289" s="41"/>
      <c r="B289" s="5" t="s">
        <v>107</v>
      </c>
      <c r="C289" s="15">
        <v>200</v>
      </c>
      <c r="D289" s="7">
        <v>2.9592000000000001</v>
      </c>
      <c r="E289" s="7">
        <v>3.1347999999999998</v>
      </c>
      <c r="F289" s="7">
        <v>19.541499999999999</v>
      </c>
      <c r="G289" s="7">
        <v>123.136</v>
      </c>
      <c r="H289" s="1" t="s">
        <v>121</v>
      </c>
    </row>
    <row r="290" spans="1:8" ht="15.95" customHeight="1">
      <c r="A290" s="41"/>
      <c r="B290" s="5" t="s">
        <v>35</v>
      </c>
      <c r="C290" s="15">
        <v>240</v>
      </c>
      <c r="D290" s="7">
        <v>14.9293</v>
      </c>
      <c r="E290" s="7">
        <v>16.336500000000001</v>
      </c>
      <c r="F290" s="7">
        <v>32.564999999999998</v>
      </c>
      <c r="G290" s="7">
        <v>278.74400000000003</v>
      </c>
      <c r="H290" s="1" t="s">
        <v>98</v>
      </c>
    </row>
    <row r="291" spans="1:8" ht="15.95" customHeight="1">
      <c r="A291" s="41"/>
      <c r="B291" s="5" t="s">
        <v>36</v>
      </c>
      <c r="C291" s="15">
        <v>60</v>
      </c>
      <c r="D291" s="7">
        <v>3.4664000000000001</v>
      </c>
      <c r="E291" s="7">
        <v>4.8334000000000001</v>
      </c>
      <c r="F291" s="7">
        <v>39.568399999999997</v>
      </c>
      <c r="G291" s="7">
        <v>180.22319999999999</v>
      </c>
      <c r="H291" s="1" t="s">
        <v>99</v>
      </c>
    </row>
    <row r="292" spans="1:8" ht="15.95" customHeight="1">
      <c r="A292" s="41"/>
      <c r="B292" s="5" t="s">
        <v>102</v>
      </c>
      <c r="C292" s="15">
        <v>200</v>
      </c>
      <c r="D292" s="7">
        <v>0.11600000000000001</v>
      </c>
      <c r="E292" s="7">
        <v>0.108</v>
      </c>
      <c r="F292" s="7">
        <v>17.888000000000002</v>
      </c>
      <c r="G292" s="7">
        <v>74.957999999999998</v>
      </c>
      <c r="H292" s="1" t="s">
        <v>114</v>
      </c>
    </row>
    <row r="293" spans="1:8" ht="15.95" customHeight="1">
      <c r="A293" s="41"/>
      <c r="B293" s="5" t="s">
        <v>4</v>
      </c>
      <c r="C293" s="15">
        <v>48</v>
      </c>
      <c r="D293" s="7">
        <v>3.7349999999999999</v>
      </c>
      <c r="E293" s="7">
        <v>0.67500000000000004</v>
      </c>
      <c r="F293" s="7">
        <v>21.645</v>
      </c>
      <c r="G293" s="7">
        <v>116.55</v>
      </c>
      <c r="H293" s="1" t="s">
        <v>58</v>
      </c>
    </row>
    <row r="294" spans="1:8" ht="15.95" customHeight="1">
      <c r="A294" s="41"/>
      <c r="B294" s="5" t="s">
        <v>1</v>
      </c>
      <c r="C294" s="15">
        <v>50</v>
      </c>
      <c r="D294" s="7">
        <v>3.7999999999999994</v>
      </c>
      <c r="E294" s="7">
        <v>0.45</v>
      </c>
      <c r="F294" s="7">
        <v>24.75</v>
      </c>
      <c r="G294" s="7">
        <v>135</v>
      </c>
      <c r="H294" s="1" t="s">
        <v>59</v>
      </c>
    </row>
    <row r="295" spans="1:8" s="20" customFormat="1" ht="15.95" customHeight="1">
      <c r="A295" s="42" t="s">
        <v>46</v>
      </c>
      <c r="B295" s="43"/>
      <c r="C295" s="3">
        <f>SUM(C288:C294)</f>
        <v>858</v>
      </c>
      <c r="D295" s="4">
        <f>SUM(D288:D294)</f>
        <v>29.965900000000001</v>
      </c>
      <c r="E295" s="4">
        <f>SUM(E288:E294)</f>
        <v>29.317700000000002</v>
      </c>
      <c r="F295" s="4">
        <f>SUM(F288:F294)</f>
        <v>160.39789999999999</v>
      </c>
      <c r="G295" s="4">
        <f>SUM(G288:G294)</f>
        <v>963.09119999999996</v>
      </c>
      <c r="H295" s="6"/>
    </row>
    <row r="296" spans="1:8" s="20" customFormat="1" ht="15.95" customHeight="1">
      <c r="A296" s="51" t="s">
        <v>136</v>
      </c>
      <c r="B296" s="5" t="s">
        <v>9</v>
      </c>
      <c r="C296" s="35">
        <v>1.8</v>
      </c>
      <c r="D296" s="19">
        <v>0</v>
      </c>
      <c r="E296" s="19">
        <v>0</v>
      </c>
      <c r="F296" s="19">
        <v>0</v>
      </c>
      <c r="G296" s="19">
        <v>0</v>
      </c>
      <c r="H296" s="6"/>
    </row>
    <row r="297" spans="1:8" s="20" customFormat="1" ht="15.95" customHeight="1">
      <c r="A297" s="52"/>
      <c r="B297" s="5" t="s">
        <v>137</v>
      </c>
      <c r="C297" s="36">
        <v>0.06</v>
      </c>
      <c r="D297" s="19">
        <f>0.0006/10</f>
        <v>5.9999999999999995E-5</v>
      </c>
      <c r="E297" s="19">
        <f>0.0006/10</f>
        <v>5.9999999999999995E-5</v>
      </c>
      <c r="F297" s="19">
        <f>0.57468/10</f>
        <v>5.7467999999999998E-2</v>
      </c>
      <c r="G297" s="19">
        <f>1.39038/10</f>
        <v>0.13903799999999999</v>
      </c>
      <c r="H297" s="6"/>
    </row>
    <row r="298" spans="1:8" ht="15.95" customHeight="1">
      <c r="A298" s="48" t="s">
        <v>133</v>
      </c>
      <c r="B298" s="49"/>
      <c r="C298" s="50"/>
      <c r="D298" s="4">
        <f>D287+D295+D296+D297</f>
        <v>44.685326666666697</v>
      </c>
      <c r="E298" s="4">
        <f>E287+E295+E296+E297</f>
        <v>46.977759999999996</v>
      </c>
      <c r="F298" s="4">
        <f>F287+F295+F296+F297</f>
        <v>246.86570133333331</v>
      </c>
      <c r="G298" s="4">
        <f>G287+G295+G296+G297</f>
        <v>1497.9959046666665</v>
      </c>
      <c r="H298" s="29"/>
    </row>
    <row r="299" spans="1:8" ht="15.95" customHeight="1">
      <c r="A299" s="48" t="s">
        <v>138</v>
      </c>
      <c r="B299" s="49"/>
      <c r="C299" s="50"/>
      <c r="D299" s="4">
        <f>(D175+D206+D236+D267+D298)/5</f>
        <v>46.93313650793651</v>
      </c>
      <c r="E299" s="4">
        <f>(E175+E206+E236+E267+E298)/5</f>
        <v>47.346648888888879</v>
      </c>
      <c r="F299" s="4">
        <f>(F175+F206+F236+F267+F298)/5</f>
        <v>207.37339466666668</v>
      </c>
      <c r="G299" s="4">
        <f>(G175+G206+G236+G267+G298)/5</f>
        <v>1430.1779383174603</v>
      </c>
      <c r="H299" s="29"/>
    </row>
    <row r="300" spans="1:8" ht="15.95" customHeight="1">
      <c r="A300" s="48" t="s">
        <v>123</v>
      </c>
      <c r="B300" s="49"/>
      <c r="C300" s="50"/>
      <c r="D300" s="4">
        <f>(D19+D49+D81+D113+D143+D175+D206+D236+D267+D298)/10</f>
        <v>46.378526984126985</v>
      </c>
      <c r="E300" s="4">
        <f>(E19+E49+E81+E113+E143+E175+E206+E236+E267+E298)/10</f>
        <v>47.386968888888887</v>
      </c>
      <c r="F300" s="4">
        <f>(F19+F49+F81+F113+F143+F175+F206+F236+F267+F298)/10</f>
        <v>205.0962613333333</v>
      </c>
      <c r="G300" s="4">
        <f>(G19+G49+G81+G113+G143+G175+G206+G236+G267+G298)/10</f>
        <v>1433.7004373650793</v>
      </c>
      <c r="H300" s="6"/>
    </row>
    <row r="301" spans="1:8" ht="15.95" customHeight="1">
      <c r="A301" s="37"/>
      <c r="B301" s="37"/>
      <c r="C301" s="37"/>
      <c r="D301" s="38"/>
      <c r="E301" s="38"/>
      <c r="F301" s="38"/>
      <c r="G301" s="38"/>
      <c r="H301" s="39"/>
    </row>
    <row r="302" spans="1:8" ht="15.95" customHeight="1">
      <c r="A302" s="37"/>
      <c r="B302" s="37"/>
      <c r="C302" s="37"/>
      <c r="D302" s="38"/>
      <c r="E302" s="38"/>
      <c r="F302" s="38"/>
      <c r="G302" s="38"/>
      <c r="H302" s="39"/>
    </row>
    <row r="303" spans="1:8" ht="15.95" customHeight="1">
      <c r="D303" s="31"/>
      <c r="E303" s="31"/>
      <c r="F303" s="31"/>
      <c r="G303" s="31"/>
    </row>
    <row r="304" spans="1:8" ht="15.95" customHeight="1">
      <c r="D304" s="14"/>
      <c r="E304" s="14"/>
      <c r="F304" s="14"/>
      <c r="G304" s="14"/>
    </row>
    <row r="305" spans="4:8" ht="15.95" customHeight="1">
      <c r="D305" s="32"/>
      <c r="E305" s="32"/>
      <c r="F305" s="32"/>
      <c r="G305" s="32"/>
    </row>
    <row r="306" spans="4:8" ht="15.95" customHeight="1"/>
    <row r="307" spans="4:8" ht="15.95" customHeight="1"/>
    <row r="308" spans="4:8" ht="15.95" customHeight="1">
      <c r="D308" s="34"/>
      <c r="E308" s="34"/>
      <c r="F308" s="34"/>
      <c r="G308" s="34"/>
      <c r="H308" s="16">
        <v>11</v>
      </c>
    </row>
  </sheetData>
  <mergeCells count="133">
    <mergeCell ref="A1:H1"/>
    <mergeCell ref="A2:A3"/>
    <mergeCell ref="B2:B3"/>
    <mergeCell ref="C2:C3"/>
    <mergeCell ref="D2:F2"/>
    <mergeCell ref="G2:G3"/>
    <mergeCell ref="H2:H3"/>
    <mergeCell ref="A32:A33"/>
    <mergeCell ref="B32:B33"/>
    <mergeCell ref="C32:C33"/>
    <mergeCell ref="D32:F32"/>
    <mergeCell ref="G32:G33"/>
    <mergeCell ref="H32:H33"/>
    <mergeCell ref="A4:A7"/>
    <mergeCell ref="A8:B8"/>
    <mergeCell ref="A9:A15"/>
    <mergeCell ref="A16:B16"/>
    <mergeCell ref="A31:H31"/>
    <mergeCell ref="A19:C19"/>
    <mergeCell ref="A17:A18"/>
    <mergeCell ref="A64:A65"/>
    <mergeCell ref="B64:B65"/>
    <mergeCell ref="C64:C65"/>
    <mergeCell ref="D64:F64"/>
    <mergeCell ref="G64:G65"/>
    <mergeCell ref="H64:H65"/>
    <mergeCell ref="A34:A38"/>
    <mergeCell ref="A39:B39"/>
    <mergeCell ref="A40:A45"/>
    <mergeCell ref="A46:B46"/>
    <mergeCell ref="A63:H63"/>
    <mergeCell ref="A49:C49"/>
    <mergeCell ref="A47:A48"/>
    <mergeCell ref="A95:A96"/>
    <mergeCell ref="B95:B96"/>
    <mergeCell ref="C95:C96"/>
    <mergeCell ref="D95:F95"/>
    <mergeCell ref="G95:G96"/>
    <mergeCell ref="H95:H96"/>
    <mergeCell ref="A66:A69"/>
    <mergeCell ref="A70:B70"/>
    <mergeCell ref="A71:A77"/>
    <mergeCell ref="A78:B78"/>
    <mergeCell ref="A94:H94"/>
    <mergeCell ref="A81:C81"/>
    <mergeCell ref="A79:A80"/>
    <mergeCell ref="A126:A127"/>
    <mergeCell ref="B126:B127"/>
    <mergeCell ref="C126:C127"/>
    <mergeCell ref="D126:F126"/>
    <mergeCell ref="G126:G127"/>
    <mergeCell ref="H126:H127"/>
    <mergeCell ref="A97:A101"/>
    <mergeCell ref="A102:B102"/>
    <mergeCell ref="A103:A109"/>
    <mergeCell ref="A110:B110"/>
    <mergeCell ref="A125:H125"/>
    <mergeCell ref="A113:C113"/>
    <mergeCell ref="A111:A112"/>
    <mergeCell ref="A157:A158"/>
    <mergeCell ref="B157:B158"/>
    <mergeCell ref="C157:C158"/>
    <mergeCell ref="D157:F157"/>
    <mergeCell ref="G157:G158"/>
    <mergeCell ref="H157:H158"/>
    <mergeCell ref="A128:A131"/>
    <mergeCell ref="A132:B132"/>
    <mergeCell ref="A133:A139"/>
    <mergeCell ref="A140:B140"/>
    <mergeCell ref="A156:H156"/>
    <mergeCell ref="A143:C143"/>
    <mergeCell ref="A141:A142"/>
    <mergeCell ref="A144:C144"/>
    <mergeCell ref="A188:A189"/>
    <mergeCell ref="B188:B189"/>
    <mergeCell ref="C188:C189"/>
    <mergeCell ref="D188:F188"/>
    <mergeCell ref="G188:G189"/>
    <mergeCell ref="H188:H189"/>
    <mergeCell ref="A159:A163"/>
    <mergeCell ref="A164:B164"/>
    <mergeCell ref="A165:A171"/>
    <mergeCell ref="A172:B172"/>
    <mergeCell ref="A187:H187"/>
    <mergeCell ref="A175:C175"/>
    <mergeCell ref="A173:A174"/>
    <mergeCell ref="A219:A220"/>
    <mergeCell ref="B219:B220"/>
    <mergeCell ref="C219:C220"/>
    <mergeCell ref="D219:F219"/>
    <mergeCell ref="G219:G220"/>
    <mergeCell ref="H219:H220"/>
    <mergeCell ref="A190:A194"/>
    <mergeCell ref="A195:B195"/>
    <mergeCell ref="A196:A202"/>
    <mergeCell ref="A203:B203"/>
    <mergeCell ref="A218:H218"/>
    <mergeCell ref="A206:C206"/>
    <mergeCell ref="A204:A205"/>
    <mergeCell ref="A250:A251"/>
    <mergeCell ref="B250:B251"/>
    <mergeCell ref="C250:C251"/>
    <mergeCell ref="D250:F250"/>
    <mergeCell ref="G250:G251"/>
    <mergeCell ref="H250:H251"/>
    <mergeCell ref="A221:A224"/>
    <mergeCell ref="A225:B225"/>
    <mergeCell ref="A226:A232"/>
    <mergeCell ref="A233:B233"/>
    <mergeCell ref="A249:H249"/>
    <mergeCell ref="A236:C236"/>
    <mergeCell ref="A234:A235"/>
    <mergeCell ref="D280:F280"/>
    <mergeCell ref="G280:G281"/>
    <mergeCell ref="H280:H281"/>
    <mergeCell ref="A252:A255"/>
    <mergeCell ref="A256:B256"/>
    <mergeCell ref="A257:A263"/>
    <mergeCell ref="A264:B264"/>
    <mergeCell ref="A279:H279"/>
    <mergeCell ref="A267:C267"/>
    <mergeCell ref="A265:A266"/>
    <mergeCell ref="A282:A286"/>
    <mergeCell ref="A287:B287"/>
    <mergeCell ref="A288:A294"/>
    <mergeCell ref="A295:B295"/>
    <mergeCell ref="A280:A281"/>
    <mergeCell ref="B280:B281"/>
    <mergeCell ref="C280:C281"/>
    <mergeCell ref="A298:C298"/>
    <mergeCell ref="A300:C300"/>
    <mergeCell ref="A296:A297"/>
    <mergeCell ref="A299:C299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8"/>
  <sheetViews>
    <sheetView tabSelected="1" view="pageBreakPreview" zoomScale="85" zoomScaleNormal="85" zoomScaleSheetLayoutView="85" workbookViewId="0">
      <selection activeCell="K15" sqref="K15"/>
    </sheetView>
  </sheetViews>
  <sheetFormatPr defaultRowHeight="14.25"/>
  <cols>
    <col min="1" max="1" width="15.140625" style="16" customWidth="1"/>
    <col min="2" max="2" width="35.28515625" style="16" customWidth="1"/>
    <col min="3" max="3" width="9.140625" style="30"/>
    <col min="4" max="4" width="10.42578125" style="33" customWidth="1"/>
    <col min="5" max="5" width="10" style="33" customWidth="1"/>
    <col min="6" max="6" width="10.7109375" style="33" customWidth="1"/>
    <col min="7" max="7" width="10.85546875" style="33" customWidth="1"/>
    <col min="8" max="8" width="40.7109375" style="16" customWidth="1"/>
    <col min="9" max="16384" width="9.140625" style="16"/>
  </cols>
  <sheetData>
    <row r="1" spans="1:8" ht="39.950000000000003" customHeight="1">
      <c r="A1" s="60" t="s">
        <v>47</v>
      </c>
      <c r="B1" s="61"/>
      <c r="C1" s="61"/>
      <c r="D1" s="61"/>
      <c r="E1" s="61"/>
      <c r="F1" s="61"/>
      <c r="G1" s="61"/>
      <c r="H1" s="62"/>
    </row>
    <row r="2" spans="1:8" ht="15.95" customHeight="1">
      <c r="A2" s="44" t="s">
        <v>38</v>
      </c>
      <c r="B2" s="45" t="s">
        <v>48</v>
      </c>
      <c r="C2" s="46" t="s">
        <v>39</v>
      </c>
      <c r="D2" s="53" t="s">
        <v>40</v>
      </c>
      <c r="E2" s="54"/>
      <c r="F2" s="55"/>
      <c r="G2" s="56" t="s">
        <v>41</v>
      </c>
      <c r="H2" s="58" t="s">
        <v>42</v>
      </c>
    </row>
    <row r="3" spans="1:8" ht="30" customHeight="1">
      <c r="A3" s="44"/>
      <c r="B3" s="45"/>
      <c r="C3" s="47"/>
      <c r="D3" s="17" t="s">
        <v>43</v>
      </c>
      <c r="E3" s="17" t="s">
        <v>44</v>
      </c>
      <c r="F3" s="18" t="s">
        <v>49</v>
      </c>
      <c r="G3" s="57"/>
      <c r="H3" s="59"/>
    </row>
    <row r="4" spans="1:8" ht="15.95" customHeight="1">
      <c r="A4" s="40" t="s">
        <v>0</v>
      </c>
      <c r="B4" s="5" t="s">
        <v>108</v>
      </c>
      <c r="C4" s="15">
        <v>250</v>
      </c>
      <c r="D4" s="7">
        <f>6.193*250/200</f>
        <v>7.74125</v>
      </c>
      <c r="E4" s="7">
        <f>7.929*250/200</f>
        <v>9.9112500000000008</v>
      </c>
      <c r="F4" s="7">
        <f>46.22*250/200</f>
        <v>57.774999999999999</v>
      </c>
      <c r="G4" s="7">
        <f>288.81*250/200</f>
        <v>361.01249999999999</v>
      </c>
      <c r="H4" s="1" t="s">
        <v>109</v>
      </c>
    </row>
    <row r="5" spans="1:8" ht="15.95" customHeight="1">
      <c r="A5" s="41"/>
      <c r="B5" s="5" t="s">
        <v>13</v>
      </c>
      <c r="C5" s="15">
        <v>45</v>
      </c>
      <c r="D5" s="7">
        <f>2.22857142857143*45/40</f>
        <v>2.5071428571428589</v>
      </c>
      <c r="E5" s="7">
        <f>7.4*45/40</f>
        <v>8.3249999999999993</v>
      </c>
      <c r="F5" s="7">
        <f>15.66*45/40</f>
        <v>17.6175</v>
      </c>
      <c r="G5" s="7">
        <f>96.3428571428571*45/40</f>
        <v>108.38571428571424</v>
      </c>
      <c r="H5" s="1" t="s">
        <v>62</v>
      </c>
    </row>
    <row r="6" spans="1:8" ht="15.95" customHeight="1">
      <c r="A6" s="41"/>
      <c r="B6" s="5" t="s">
        <v>17</v>
      </c>
      <c r="C6" s="15">
        <v>200</v>
      </c>
      <c r="D6" s="7">
        <v>6.9999999999999999E-4</v>
      </c>
      <c r="E6" s="7">
        <v>0</v>
      </c>
      <c r="F6" s="7">
        <v>7.0350000000000001</v>
      </c>
      <c r="G6" s="7">
        <v>28.126000000000001</v>
      </c>
      <c r="H6" s="1" t="s">
        <v>68</v>
      </c>
    </row>
    <row r="7" spans="1:8" ht="15.95" customHeight="1">
      <c r="A7" s="41"/>
      <c r="B7" s="5" t="s">
        <v>2</v>
      </c>
      <c r="C7" s="15">
        <v>100</v>
      </c>
      <c r="D7" s="19">
        <v>1</v>
      </c>
      <c r="E7" s="19">
        <v>0.4</v>
      </c>
      <c r="F7" s="19">
        <v>15.4</v>
      </c>
      <c r="G7" s="19">
        <v>71.5</v>
      </c>
      <c r="H7" s="1" t="s">
        <v>53</v>
      </c>
    </row>
    <row r="8" spans="1:8" s="20" customFormat="1" ht="15.95" customHeight="1">
      <c r="A8" s="42" t="s">
        <v>45</v>
      </c>
      <c r="B8" s="43"/>
      <c r="C8" s="3">
        <f>SUM(C4:C7)</f>
        <v>595</v>
      </c>
      <c r="D8" s="4">
        <f>SUM(D4:D7)</f>
        <v>11.249092857142859</v>
      </c>
      <c r="E8" s="4">
        <f>SUM(E4:E7)</f>
        <v>18.636249999999997</v>
      </c>
      <c r="F8" s="4">
        <f>SUM(F4:F7)</f>
        <v>97.827500000000001</v>
      </c>
      <c r="G8" s="4">
        <f>SUM(G4:G7)</f>
        <v>569.02421428571415</v>
      </c>
      <c r="H8" s="6"/>
    </row>
    <row r="9" spans="1:8" ht="32.1" customHeight="1">
      <c r="A9" s="40" t="s">
        <v>3</v>
      </c>
      <c r="B9" s="5" t="s">
        <v>139</v>
      </c>
      <c r="C9" s="15">
        <v>100</v>
      </c>
      <c r="D9" s="19">
        <f>1.43*100/60</f>
        <v>2.3833333333333333</v>
      </c>
      <c r="E9" s="19">
        <f>0.195*100/60</f>
        <v>0.32500000000000001</v>
      </c>
      <c r="F9" s="19">
        <f>5.525*100/60</f>
        <v>9.2083333333333339</v>
      </c>
      <c r="G9" s="19">
        <f>24.7*100/60</f>
        <v>41.166666666666664</v>
      </c>
      <c r="H9" s="1" t="s">
        <v>54</v>
      </c>
    </row>
    <row r="10" spans="1:8" ht="32.1" customHeight="1">
      <c r="A10" s="41"/>
      <c r="B10" s="5" t="s">
        <v>110</v>
      </c>
      <c r="C10" s="15">
        <v>250</v>
      </c>
      <c r="D10" s="7">
        <f>6.1662*250/200</f>
        <v>7.7077499999999999</v>
      </c>
      <c r="E10" s="7">
        <f>6.46*250/200</f>
        <v>8.0749999999999993</v>
      </c>
      <c r="F10" s="7">
        <f>17.05*250/200</f>
        <v>21.3125</v>
      </c>
      <c r="G10" s="7">
        <f>167.806*250/200</f>
        <v>209.75749999999999</v>
      </c>
      <c r="H10" s="1" t="s">
        <v>55</v>
      </c>
    </row>
    <row r="11" spans="1:8" ht="15.95" customHeight="1">
      <c r="A11" s="41"/>
      <c r="B11" s="5" t="s">
        <v>10</v>
      </c>
      <c r="C11" s="15">
        <v>100</v>
      </c>
      <c r="D11" s="21">
        <f>15.9741*100/90</f>
        <v>17.749000000000002</v>
      </c>
      <c r="E11" s="21">
        <f>16.8977*100/90</f>
        <v>18.775222222222222</v>
      </c>
      <c r="F11" s="21">
        <f>8.6813*100/90</f>
        <v>9.645888888888889</v>
      </c>
      <c r="G11" s="21">
        <f>285.191*100/90</f>
        <v>316.87888888888887</v>
      </c>
      <c r="H11" s="1" t="s">
        <v>56</v>
      </c>
    </row>
    <row r="12" spans="1:8" ht="15.95" customHeight="1">
      <c r="A12" s="41"/>
      <c r="B12" s="5" t="s">
        <v>11</v>
      </c>
      <c r="C12" s="15">
        <v>180</v>
      </c>
      <c r="D12" s="7">
        <f>3.7305*180/150</f>
        <v>4.4766000000000004</v>
      </c>
      <c r="E12" s="7">
        <f>5.24*180/150</f>
        <v>6.2880000000000003</v>
      </c>
      <c r="F12" s="7">
        <f>39.256*180/150</f>
        <v>47.107199999999999</v>
      </c>
      <c r="G12" s="7">
        <f>183.15*180/150</f>
        <v>219.78</v>
      </c>
      <c r="H12" s="1" t="s">
        <v>57</v>
      </c>
    </row>
    <row r="13" spans="1:8" ht="15.95" customHeight="1">
      <c r="A13" s="41"/>
      <c r="B13" s="5" t="s">
        <v>100</v>
      </c>
      <c r="C13" s="15">
        <v>200</v>
      </c>
      <c r="D13" s="7">
        <v>0.9</v>
      </c>
      <c r="E13" s="7">
        <v>0.08</v>
      </c>
      <c r="F13" s="7">
        <v>7.0488</v>
      </c>
      <c r="G13" s="7">
        <v>36.143999999999998</v>
      </c>
      <c r="H13" s="1" t="s">
        <v>111</v>
      </c>
    </row>
    <row r="14" spans="1:8" ht="15.95" customHeight="1">
      <c r="A14" s="41"/>
      <c r="B14" s="5" t="s">
        <v>4</v>
      </c>
      <c r="C14" s="15">
        <v>70</v>
      </c>
      <c r="D14" s="7">
        <f>3.735*70/48</f>
        <v>5.4468749999999995</v>
      </c>
      <c r="E14" s="7">
        <f>0.675*70/48</f>
        <v>0.984375</v>
      </c>
      <c r="F14" s="7">
        <f>21.645*70/48</f>
        <v>31.565624999999997</v>
      </c>
      <c r="G14" s="7">
        <f>116.55*70/48</f>
        <v>169.96875</v>
      </c>
      <c r="H14" s="1" t="s">
        <v>58</v>
      </c>
    </row>
    <row r="15" spans="1:8" ht="15.95" customHeight="1">
      <c r="A15" s="41"/>
      <c r="B15" s="5" t="s">
        <v>1</v>
      </c>
      <c r="C15" s="15">
        <v>65</v>
      </c>
      <c r="D15" s="7">
        <f>3.8*65/50</f>
        <v>4.9400000000000004</v>
      </c>
      <c r="E15" s="7">
        <f>0.45*65/50</f>
        <v>0.58499999999999996</v>
      </c>
      <c r="F15" s="7">
        <f>24.75*65/50</f>
        <v>32.174999999999997</v>
      </c>
      <c r="G15" s="7">
        <f>135*65/50</f>
        <v>175.5</v>
      </c>
      <c r="H15" s="1" t="s">
        <v>59</v>
      </c>
    </row>
    <row r="16" spans="1:8" s="20" customFormat="1" ht="15.95" customHeight="1">
      <c r="A16" s="42" t="s">
        <v>46</v>
      </c>
      <c r="B16" s="43"/>
      <c r="C16" s="3">
        <f>SUM(C9:C15)</f>
        <v>965</v>
      </c>
      <c r="D16" s="4">
        <f>SUM(D9:D15)</f>
        <v>43.603558333333332</v>
      </c>
      <c r="E16" s="4">
        <f>SUM(E9:E15)</f>
        <v>35.11259722222222</v>
      </c>
      <c r="F16" s="4">
        <f>SUM(F9:F15)</f>
        <v>158.06334722222221</v>
      </c>
      <c r="G16" s="4">
        <f>SUM(G9:G15)</f>
        <v>1169.1958055555556</v>
      </c>
      <c r="H16" s="6"/>
    </row>
    <row r="17" spans="1:8" s="20" customFormat="1" ht="15.95" customHeight="1">
      <c r="A17" s="51" t="s">
        <v>136</v>
      </c>
      <c r="B17" s="5" t="s">
        <v>9</v>
      </c>
      <c r="C17" s="35">
        <v>3</v>
      </c>
      <c r="D17" s="19">
        <v>0</v>
      </c>
      <c r="E17" s="19">
        <v>0</v>
      </c>
      <c r="F17" s="19">
        <v>0</v>
      </c>
      <c r="G17" s="19">
        <v>0</v>
      </c>
      <c r="H17" s="6"/>
    </row>
    <row r="18" spans="1:8" s="20" customFormat="1" ht="15.95" customHeight="1">
      <c r="A18" s="52"/>
      <c r="B18" s="5" t="s">
        <v>137</v>
      </c>
      <c r="C18" s="36">
        <v>7.0000000000000007E-2</v>
      </c>
      <c r="D18" s="19">
        <v>5.9999999999999995E-5</v>
      </c>
      <c r="E18" s="19">
        <v>5.9999999999999995E-5</v>
      </c>
      <c r="F18" s="19">
        <f>0.057468*0.07/0.06</f>
        <v>6.7046000000000008E-2</v>
      </c>
      <c r="G18" s="19">
        <f>0.139038*0.07/0.06</f>
        <v>0.16221100000000002</v>
      </c>
      <c r="H18" s="6"/>
    </row>
    <row r="19" spans="1:8" ht="15.95" customHeight="1">
      <c r="A19" s="48" t="s">
        <v>124</v>
      </c>
      <c r="B19" s="49"/>
      <c r="C19" s="50"/>
      <c r="D19" s="4">
        <f>D8+D16+D17+D18</f>
        <v>54.852711190476192</v>
      </c>
      <c r="E19" s="4">
        <f>E8+E16+E17+E18</f>
        <v>53.748907222222215</v>
      </c>
      <c r="F19" s="4">
        <f>F8+F16+F17+F18</f>
        <v>255.9578932222222</v>
      </c>
      <c r="G19" s="4">
        <f>G8+G16+G17+G18</f>
        <v>1738.3822308412698</v>
      </c>
      <c r="H19" s="1"/>
    </row>
    <row r="20" spans="1:8" ht="15.95" customHeight="1">
      <c r="A20" s="9"/>
      <c r="B20" s="9"/>
      <c r="C20" s="13"/>
      <c r="D20" s="14"/>
      <c r="E20" s="14"/>
      <c r="F20" s="14"/>
      <c r="G20" s="14"/>
      <c r="H20" s="8"/>
    </row>
    <row r="21" spans="1:8" ht="15.95" customHeight="1">
      <c r="A21" s="9"/>
      <c r="B21" s="9"/>
      <c r="C21" s="13"/>
      <c r="D21" s="14"/>
      <c r="E21" s="14"/>
      <c r="F21" s="14"/>
      <c r="G21" s="14"/>
      <c r="H21" s="8"/>
    </row>
    <row r="22" spans="1:8" ht="15.95" customHeight="1">
      <c r="A22" s="9"/>
      <c r="B22" s="9"/>
      <c r="C22" s="13"/>
      <c r="D22" s="14"/>
      <c r="E22" s="14"/>
      <c r="F22" s="14"/>
      <c r="G22" s="14"/>
      <c r="H22" s="8"/>
    </row>
    <row r="23" spans="1:8" ht="15.95" customHeight="1">
      <c r="A23" s="9"/>
      <c r="B23" s="9"/>
      <c r="C23" s="13"/>
      <c r="D23" s="14"/>
      <c r="E23" s="14"/>
      <c r="F23" s="14"/>
      <c r="G23" s="14"/>
      <c r="H23" s="8"/>
    </row>
    <row r="24" spans="1:8" ht="15.95" customHeight="1">
      <c r="A24" s="9"/>
      <c r="B24" s="9"/>
      <c r="C24" s="13"/>
      <c r="D24" s="14"/>
      <c r="E24" s="14"/>
      <c r="F24" s="14"/>
      <c r="G24" s="14"/>
      <c r="H24" s="8"/>
    </row>
    <row r="25" spans="1:8" ht="15.95" customHeight="1">
      <c r="A25" s="9"/>
      <c r="B25" s="9"/>
      <c r="C25" s="13"/>
      <c r="D25" s="22"/>
      <c r="E25" s="22"/>
      <c r="F25" s="22"/>
      <c r="G25" s="22"/>
      <c r="H25" s="8"/>
    </row>
    <row r="26" spans="1:8" ht="15.95" customHeight="1">
      <c r="A26" s="9"/>
      <c r="B26" s="13"/>
      <c r="C26" s="13"/>
      <c r="D26" s="14"/>
      <c r="E26" s="14"/>
      <c r="F26" s="14"/>
      <c r="G26" s="14"/>
      <c r="H26" s="8"/>
    </row>
    <row r="27" spans="1:8" ht="15.95" customHeight="1">
      <c r="A27" s="9"/>
      <c r="B27" s="9"/>
      <c r="C27" s="13"/>
      <c r="D27" s="14"/>
      <c r="E27" s="14"/>
      <c r="F27" s="14"/>
      <c r="G27" s="14"/>
      <c r="H27" s="8"/>
    </row>
    <row r="28" spans="1:8" ht="15.95" customHeight="1">
      <c r="A28" s="9"/>
      <c r="B28" s="9"/>
      <c r="C28" s="13"/>
      <c r="D28" s="14"/>
      <c r="E28" s="14"/>
      <c r="F28" s="14"/>
      <c r="G28" s="14"/>
      <c r="H28" s="8"/>
    </row>
    <row r="29" spans="1:8" ht="15.95" customHeight="1">
      <c r="A29" s="9"/>
      <c r="B29" s="9"/>
      <c r="C29" s="13"/>
      <c r="D29" s="14"/>
      <c r="E29" s="14"/>
      <c r="F29" s="14"/>
      <c r="G29" s="14"/>
      <c r="H29" s="8">
        <v>2</v>
      </c>
    </row>
    <row r="30" spans="1:8" ht="15.95" customHeight="1">
      <c r="A30" s="9"/>
      <c r="B30" s="9"/>
      <c r="C30" s="13"/>
      <c r="D30" s="14"/>
      <c r="E30" s="14"/>
      <c r="F30" s="14"/>
      <c r="G30" s="14"/>
      <c r="H30" s="8"/>
    </row>
    <row r="31" spans="1:8" ht="39.950000000000003" customHeight="1">
      <c r="A31" s="60" t="s">
        <v>60</v>
      </c>
      <c r="B31" s="61"/>
      <c r="C31" s="61"/>
      <c r="D31" s="61"/>
      <c r="E31" s="61"/>
      <c r="F31" s="61"/>
      <c r="G31" s="61"/>
      <c r="H31" s="62"/>
    </row>
    <row r="32" spans="1:8" ht="15.95" customHeight="1">
      <c r="A32" s="44" t="s">
        <v>38</v>
      </c>
      <c r="B32" s="45" t="s">
        <v>48</v>
      </c>
      <c r="C32" s="46" t="s">
        <v>39</v>
      </c>
      <c r="D32" s="53" t="s">
        <v>40</v>
      </c>
      <c r="E32" s="54"/>
      <c r="F32" s="55"/>
      <c r="G32" s="56" t="s">
        <v>41</v>
      </c>
      <c r="H32" s="58" t="s">
        <v>42</v>
      </c>
    </row>
    <row r="33" spans="1:8" ht="30" customHeight="1">
      <c r="A33" s="44"/>
      <c r="B33" s="45"/>
      <c r="C33" s="47"/>
      <c r="D33" s="17" t="s">
        <v>43</v>
      </c>
      <c r="E33" s="17" t="s">
        <v>44</v>
      </c>
      <c r="F33" s="18" t="s">
        <v>49</v>
      </c>
      <c r="G33" s="57"/>
      <c r="H33" s="59"/>
    </row>
    <row r="34" spans="1:8" ht="15.95" customHeight="1">
      <c r="A34" s="40" t="s">
        <v>0</v>
      </c>
      <c r="B34" s="5" t="s">
        <v>12</v>
      </c>
      <c r="C34" s="15">
        <v>180</v>
      </c>
      <c r="D34" s="7">
        <f>11.006*180/150</f>
        <v>13.2072</v>
      </c>
      <c r="E34" s="7">
        <f>12.167*180/150</f>
        <v>14.6004</v>
      </c>
      <c r="F34" s="7">
        <f>10.03*180/150</f>
        <v>12.036</v>
      </c>
      <c r="G34" s="7">
        <f>194.95*180/150</f>
        <v>233.94</v>
      </c>
      <c r="H34" s="1" t="s">
        <v>61</v>
      </c>
    </row>
    <row r="35" spans="1:8" ht="15.95" customHeight="1">
      <c r="A35" s="41"/>
      <c r="B35" s="5" t="s">
        <v>134</v>
      </c>
      <c r="C35" s="15">
        <v>30</v>
      </c>
      <c r="D35" s="7">
        <v>0.77</v>
      </c>
      <c r="E35" s="7">
        <v>0.105</v>
      </c>
      <c r="F35" s="7">
        <v>2.9750000000000001</v>
      </c>
      <c r="G35" s="7">
        <v>13.3</v>
      </c>
      <c r="H35" s="1" t="s">
        <v>54</v>
      </c>
    </row>
    <row r="36" spans="1:8" ht="15.95" customHeight="1">
      <c r="A36" s="41"/>
      <c r="B36" s="5" t="s">
        <v>7</v>
      </c>
      <c r="C36" s="15">
        <v>45</v>
      </c>
      <c r="D36" s="7">
        <f>4.58*45/40</f>
        <v>5.1524999999999999</v>
      </c>
      <c r="E36" s="7">
        <f>4.17*45/40</f>
        <v>4.6912500000000001</v>
      </c>
      <c r="F36" s="7">
        <f>13.85*45/40</f>
        <v>15.581250000000001</v>
      </c>
      <c r="G36" s="7">
        <f>117.4*45/40</f>
        <v>132.07499999999999</v>
      </c>
      <c r="H36" s="1" t="s">
        <v>51</v>
      </c>
    </row>
    <row r="37" spans="1:8" ht="15.95" customHeight="1">
      <c r="A37" s="41"/>
      <c r="B37" s="5" t="s">
        <v>2</v>
      </c>
      <c r="C37" s="15">
        <v>100</v>
      </c>
      <c r="D37" s="19">
        <v>1</v>
      </c>
      <c r="E37" s="19">
        <v>0.4</v>
      </c>
      <c r="F37" s="19">
        <v>15.4</v>
      </c>
      <c r="G37" s="23">
        <v>71.5</v>
      </c>
      <c r="H37" s="1" t="s">
        <v>53</v>
      </c>
    </row>
    <row r="38" spans="1:8" ht="15.95" customHeight="1">
      <c r="A38" s="41"/>
      <c r="B38" s="5" t="s">
        <v>14</v>
      </c>
      <c r="C38" s="15">
        <v>200</v>
      </c>
      <c r="D38" s="7">
        <v>1.736</v>
      </c>
      <c r="E38" s="7">
        <v>4.0204000000000004</v>
      </c>
      <c r="F38" s="7">
        <v>11.459</v>
      </c>
      <c r="G38" s="7">
        <v>84.846000000000004</v>
      </c>
      <c r="H38" s="1" t="s">
        <v>63</v>
      </c>
    </row>
    <row r="39" spans="1:8" ht="15.95" customHeight="1">
      <c r="A39" s="42" t="s">
        <v>45</v>
      </c>
      <c r="B39" s="43"/>
      <c r="C39" s="3">
        <f>SUM(C34:C38)</f>
        <v>555</v>
      </c>
      <c r="D39" s="4">
        <f>SUM(D34:D38)</f>
        <v>21.8657</v>
      </c>
      <c r="E39" s="4">
        <f>SUM(E34:E38)</f>
        <v>23.817050000000002</v>
      </c>
      <c r="F39" s="4">
        <f>SUM(F34:F38)</f>
        <v>57.451250000000002</v>
      </c>
      <c r="G39" s="4">
        <f>SUM(G34:G38)</f>
        <v>535.66100000000006</v>
      </c>
      <c r="H39" s="2"/>
    </row>
    <row r="40" spans="1:8" ht="15.95" customHeight="1">
      <c r="A40" s="40" t="s">
        <v>3</v>
      </c>
      <c r="B40" s="24" t="s">
        <v>5</v>
      </c>
      <c r="C40" s="25">
        <v>100</v>
      </c>
      <c r="D40" s="7">
        <f>0.96*100/60</f>
        <v>1.6</v>
      </c>
      <c r="E40" s="7">
        <f>3.78*100/60</f>
        <v>6.3</v>
      </c>
      <c r="F40" s="7">
        <f>4.44*100/60</f>
        <v>7.4000000000000012</v>
      </c>
      <c r="G40" s="7">
        <f>64.48*100/60</f>
        <v>107.46666666666667</v>
      </c>
      <c r="H40" s="1" t="s">
        <v>112</v>
      </c>
    </row>
    <row r="41" spans="1:8" ht="15.95" customHeight="1">
      <c r="A41" s="41"/>
      <c r="B41" s="5" t="s">
        <v>15</v>
      </c>
      <c r="C41" s="15">
        <v>250</v>
      </c>
      <c r="D41" s="7">
        <f>5.1*250/200</f>
        <v>6.375</v>
      </c>
      <c r="E41" s="7">
        <f>5.556*250/200</f>
        <v>6.9450000000000003</v>
      </c>
      <c r="F41" s="7">
        <f>29.5075*250/200</f>
        <v>36.884374999999999</v>
      </c>
      <c r="G41" s="7">
        <f>205.98*250/200</f>
        <v>257.47500000000002</v>
      </c>
      <c r="H41" s="1" t="s">
        <v>64</v>
      </c>
    </row>
    <row r="42" spans="1:8" ht="15.95" customHeight="1">
      <c r="A42" s="41"/>
      <c r="B42" s="5" t="s">
        <v>37</v>
      </c>
      <c r="C42" s="15">
        <v>280</v>
      </c>
      <c r="D42" s="7">
        <f>13.23*280/240</f>
        <v>15.435</v>
      </c>
      <c r="E42" s="7">
        <f>16.2804*280/240</f>
        <v>18.9938</v>
      </c>
      <c r="F42" s="7">
        <f>44.4161*280/240</f>
        <v>51.818783333333336</v>
      </c>
      <c r="G42" s="7">
        <f>354.58*280/240</f>
        <v>413.67666666666662</v>
      </c>
      <c r="H42" s="1" t="s">
        <v>65</v>
      </c>
    </row>
    <row r="43" spans="1:8" ht="15.95" customHeight="1">
      <c r="A43" s="41"/>
      <c r="B43" s="5" t="s">
        <v>16</v>
      </c>
      <c r="C43" s="15">
        <v>200</v>
      </c>
      <c r="D43" s="7">
        <v>0</v>
      </c>
      <c r="E43" s="7">
        <v>0</v>
      </c>
      <c r="F43" s="7">
        <v>11.231999999999999</v>
      </c>
      <c r="G43" s="7">
        <v>41.91</v>
      </c>
      <c r="H43" s="1" t="s">
        <v>66</v>
      </c>
    </row>
    <row r="44" spans="1:8" ht="15.95" customHeight="1">
      <c r="A44" s="41"/>
      <c r="B44" s="5" t="s">
        <v>4</v>
      </c>
      <c r="C44" s="15">
        <v>70</v>
      </c>
      <c r="D44" s="7">
        <f>3.735*70/48</f>
        <v>5.4468749999999995</v>
      </c>
      <c r="E44" s="7">
        <f>0.675*70/48</f>
        <v>0.984375</v>
      </c>
      <c r="F44" s="7">
        <f>21.645*70/48</f>
        <v>31.565624999999997</v>
      </c>
      <c r="G44" s="7">
        <f>116.55*70/48</f>
        <v>169.96875</v>
      </c>
      <c r="H44" s="1" t="s">
        <v>58</v>
      </c>
    </row>
    <row r="45" spans="1:8" ht="15.95" customHeight="1">
      <c r="A45" s="41"/>
      <c r="B45" s="5" t="s">
        <v>1</v>
      </c>
      <c r="C45" s="15">
        <v>65</v>
      </c>
      <c r="D45" s="7">
        <f>3.8*65/50</f>
        <v>4.9400000000000004</v>
      </c>
      <c r="E45" s="7">
        <f>0.45*65/50</f>
        <v>0.58499999999999996</v>
      </c>
      <c r="F45" s="7">
        <f>24.75*65/50</f>
        <v>32.174999999999997</v>
      </c>
      <c r="G45" s="7">
        <f>135*65/50</f>
        <v>175.5</v>
      </c>
      <c r="H45" s="1" t="s">
        <v>59</v>
      </c>
    </row>
    <row r="46" spans="1:8" ht="15.95" customHeight="1">
      <c r="A46" s="42" t="s">
        <v>46</v>
      </c>
      <c r="B46" s="43"/>
      <c r="C46" s="3">
        <f>SUM(C40:C45)</f>
        <v>965</v>
      </c>
      <c r="D46" s="4">
        <f>SUM(D40:D45)</f>
        <v>33.796875</v>
      </c>
      <c r="E46" s="4">
        <f>SUM(E40:E45)</f>
        <v>33.808174999999999</v>
      </c>
      <c r="F46" s="4">
        <f>SUM(F40:F45)</f>
        <v>171.07578333333333</v>
      </c>
      <c r="G46" s="4">
        <f>SUM(G40:G45)</f>
        <v>1165.9970833333332</v>
      </c>
      <c r="H46" s="6"/>
    </row>
    <row r="47" spans="1:8" ht="15.95" customHeight="1">
      <c r="A47" s="51" t="s">
        <v>136</v>
      </c>
      <c r="B47" s="5" t="s">
        <v>9</v>
      </c>
      <c r="C47" s="35">
        <v>3</v>
      </c>
      <c r="D47" s="19">
        <v>0</v>
      </c>
      <c r="E47" s="19">
        <v>0</v>
      </c>
      <c r="F47" s="19">
        <v>0</v>
      </c>
      <c r="G47" s="19">
        <v>0</v>
      </c>
      <c r="H47" s="6"/>
    </row>
    <row r="48" spans="1:8" ht="15.95" customHeight="1">
      <c r="A48" s="52"/>
      <c r="B48" s="5" t="s">
        <v>137</v>
      </c>
      <c r="C48" s="36">
        <v>7.0000000000000007E-2</v>
      </c>
      <c r="D48" s="19">
        <v>5.9999999999999995E-5</v>
      </c>
      <c r="E48" s="19">
        <v>5.9999999999999995E-5</v>
      </c>
      <c r="F48" s="19">
        <f>0.057468*0.07/0.06</f>
        <v>6.7046000000000008E-2</v>
      </c>
      <c r="G48" s="19">
        <f>0.139038*0.07/0.06</f>
        <v>0.16221100000000002</v>
      </c>
      <c r="H48" s="6"/>
    </row>
    <row r="49" spans="1:8" ht="15.95" customHeight="1">
      <c r="A49" s="48" t="s">
        <v>125</v>
      </c>
      <c r="B49" s="49"/>
      <c r="C49" s="50"/>
      <c r="D49" s="4">
        <f>D39+D46+D47+D48</f>
        <v>55.662635000000002</v>
      </c>
      <c r="E49" s="4">
        <f>E39+E46+E47+E48</f>
        <v>57.625284999999998</v>
      </c>
      <c r="F49" s="4">
        <f>F39+F46+F47+F48</f>
        <v>228.59407933333335</v>
      </c>
      <c r="G49" s="4">
        <f>G39+G46+G47+G48</f>
        <v>1701.8202943333333</v>
      </c>
      <c r="H49" s="1"/>
    </row>
    <row r="50" spans="1:8" ht="15.95" customHeight="1">
      <c r="A50" s="9"/>
      <c r="B50" s="9"/>
      <c r="C50" s="13"/>
      <c r="D50" s="14"/>
      <c r="E50" s="14"/>
      <c r="F50" s="14"/>
      <c r="G50" s="14"/>
      <c r="H50" s="8"/>
    </row>
    <row r="51" spans="1:8" ht="15.95" customHeight="1">
      <c r="A51" s="9"/>
      <c r="B51" s="9"/>
      <c r="C51" s="13"/>
      <c r="D51" s="14"/>
      <c r="E51" s="14"/>
      <c r="F51" s="14"/>
      <c r="G51" s="14"/>
      <c r="H51" s="8"/>
    </row>
    <row r="52" spans="1:8" ht="15.95" customHeight="1">
      <c r="A52" s="9"/>
      <c r="B52" s="9"/>
      <c r="C52" s="13"/>
      <c r="D52" s="14"/>
      <c r="E52" s="14"/>
      <c r="F52" s="14"/>
      <c r="G52" s="14"/>
      <c r="H52" s="8"/>
    </row>
    <row r="53" spans="1:8" ht="15.95" customHeight="1">
      <c r="A53" s="9"/>
      <c r="B53" s="9"/>
      <c r="C53" s="13"/>
      <c r="D53" s="14"/>
      <c r="E53" s="14"/>
      <c r="F53" s="14"/>
      <c r="G53" s="14"/>
      <c r="H53" s="8"/>
    </row>
    <row r="54" spans="1:8" ht="15.95" customHeight="1">
      <c r="A54" s="9"/>
      <c r="B54" s="9"/>
      <c r="C54" s="13"/>
      <c r="D54" s="14"/>
      <c r="E54" s="14"/>
      <c r="F54" s="14"/>
      <c r="G54" s="14"/>
      <c r="H54" s="8"/>
    </row>
    <row r="55" spans="1:8" ht="15.95" customHeight="1">
      <c r="A55" s="9"/>
      <c r="B55" s="9"/>
      <c r="C55" s="13"/>
      <c r="D55" s="22"/>
      <c r="E55" s="22"/>
      <c r="F55" s="22"/>
      <c r="G55" s="22"/>
      <c r="H55" s="8"/>
    </row>
    <row r="56" spans="1:8" ht="15.95" customHeight="1">
      <c r="A56" s="9"/>
      <c r="B56" s="9"/>
      <c r="C56" s="13"/>
      <c r="D56" s="14"/>
      <c r="E56" s="14"/>
      <c r="F56" s="14"/>
      <c r="G56" s="14"/>
      <c r="H56" s="8"/>
    </row>
    <row r="57" spans="1:8" ht="15.95" customHeight="1">
      <c r="A57" s="9"/>
      <c r="B57" s="9"/>
      <c r="C57" s="13"/>
      <c r="D57" s="14"/>
      <c r="E57" s="14"/>
      <c r="F57" s="14"/>
      <c r="G57" s="14"/>
      <c r="H57" s="8"/>
    </row>
    <row r="58" spans="1:8" ht="15.95" customHeight="1">
      <c r="A58" s="9"/>
      <c r="B58" s="9"/>
      <c r="C58" s="13"/>
      <c r="D58" s="14"/>
      <c r="E58" s="14"/>
      <c r="F58" s="14"/>
      <c r="G58" s="14"/>
      <c r="H58" s="8"/>
    </row>
    <row r="59" spans="1:8" ht="15.95" customHeight="1">
      <c r="A59" s="9"/>
      <c r="B59" s="9"/>
      <c r="C59" s="13"/>
      <c r="D59" s="14"/>
      <c r="E59" s="14"/>
      <c r="F59" s="14"/>
      <c r="G59" s="14"/>
      <c r="H59" s="8"/>
    </row>
    <row r="60" spans="1:8" ht="15.95" customHeight="1">
      <c r="A60" s="9"/>
      <c r="B60" s="9"/>
      <c r="C60" s="13"/>
      <c r="D60" s="14"/>
      <c r="E60" s="14"/>
      <c r="F60" s="14"/>
      <c r="G60" s="14"/>
      <c r="H60" s="8"/>
    </row>
    <row r="61" spans="1:8" ht="15.95" customHeight="1">
      <c r="A61" s="9"/>
      <c r="B61" s="9"/>
      <c r="C61" s="13"/>
      <c r="D61" s="14"/>
      <c r="E61" s="14"/>
      <c r="F61" s="14"/>
      <c r="G61" s="14"/>
      <c r="H61" s="8">
        <v>3</v>
      </c>
    </row>
    <row r="62" spans="1:8" ht="15.95" customHeight="1">
      <c r="A62" s="9"/>
      <c r="B62" s="9"/>
      <c r="C62" s="13"/>
      <c r="D62" s="14"/>
      <c r="E62" s="14"/>
      <c r="F62" s="14"/>
      <c r="G62" s="14"/>
      <c r="H62" s="8"/>
    </row>
    <row r="63" spans="1:8" ht="39.950000000000003" customHeight="1">
      <c r="A63" s="60" t="s">
        <v>67</v>
      </c>
      <c r="B63" s="61"/>
      <c r="C63" s="61"/>
      <c r="D63" s="61"/>
      <c r="E63" s="61"/>
      <c r="F63" s="61"/>
      <c r="G63" s="61"/>
      <c r="H63" s="62"/>
    </row>
    <row r="64" spans="1:8" ht="15.95" customHeight="1">
      <c r="A64" s="44" t="s">
        <v>38</v>
      </c>
      <c r="B64" s="45" t="s">
        <v>48</v>
      </c>
      <c r="C64" s="46" t="s">
        <v>39</v>
      </c>
      <c r="D64" s="53" t="s">
        <v>40</v>
      </c>
      <c r="E64" s="54"/>
      <c r="F64" s="55"/>
      <c r="G64" s="56" t="s">
        <v>41</v>
      </c>
      <c r="H64" s="58" t="s">
        <v>42</v>
      </c>
    </row>
    <row r="65" spans="1:8" ht="30" customHeight="1">
      <c r="A65" s="44"/>
      <c r="B65" s="45"/>
      <c r="C65" s="47"/>
      <c r="D65" s="17" t="s">
        <v>43</v>
      </c>
      <c r="E65" s="17" t="s">
        <v>44</v>
      </c>
      <c r="F65" s="18" t="s">
        <v>49</v>
      </c>
      <c r="G65" s="57"/>
      <c r="H65" s="59"/>
    </row>
    <row r="66" spans="1:8" ht="15.95" customHeight="1">
      <c r="A66" s="40" t="s">
        <v>0</v>
      </c>
      <c r="B66" s="5" t="s">
        <v>101</v>
      </c>
      <c r="C66" s="15">
        <v>250</v>
      </c>
      <c r="D66" s="7">
        <f>5.51*250/200</f>
        <v>6.8875000000000002</v>
      </c>
      <c r="E66" s="7">
        <f>6.48*250/200</f>
        <v>8.1</v>
      </c>
      <c r="F66" s="7">
        <f>27.052*250/200</f>
        <v>33.814999999999998</v>
      </c>
      <c r="G66" s="7">
        <f>170.27*250/200</f>
        <v>212.83750000000001</v>
      </c>
      <c r="H66" s="1" t="s">
        <v>50</v>
      </c>
    </row>
    <row r="67" spans="1:8" ht="15.95" customHeight="1">
      <c r="A67" s="41"/>
      <c r="B67" s="5" t="s">
        <v>25</v>
      </c>
      <c r="C67" s="15">
        <v>55</v>
      </c>
      <c r="D67" s="7">
        <v>5.1944444444444446</v>
      </c>
      <c r="E67" s="7">
        <v>11.464444444444446</v>
      </c>
      <c r="F67" s="7">
        <v>20.228999999999999</v>
      </c>
      <c r="G67" s="7">
        <v>145.07777777777778</v>
      </c>
      <c r="H67" s="1" t="s">
        <v>81</v>
      </c>
    </row>
    <row r="68" spans="1:8" ht="15.95" customHeight="1">
      <c r="A68" s="41"/>
      <c r="B68" s="5" t="s">
        <v>8</v>
      </c>
      <c r="C68" s="15">
        <v>200</v>
      </c>
      <c r="D68" s="7">
        <v>1.6105</v>
      </c>
      <c r="E68" s="7">
        <v>3.58</v>
      </c>
      <c r="F68" s="7">
        <v>11.250999999999999</v>
      </c>
      <c r="G68" s="7">
        <v>82.07</v>
      </c>
      <c r="H68" s="1" t="s">
        <v>52</v>
      </c>
    </row>
    <row r="69" spans="1:8" ht="15.95" customHeight="1">
      <c r="A69" s="41"/>
      <c r="B69" s="5" t="s">
        <v>2</v>
      </c>
      <c r="C69" s="15">
        <v>100</v>
      </c>
      <c r="D69" s="19">
        <v>1</v>
      </c>
      <c r="E69" s="19">
        <v>0.4</v>
      </c>
      <c r="F69" s="19">
        <v>15.4</v>
      </c>
      <c r="G69" s="19">
        <v>71.5</v>
      </c>
      <c r="H69" s="1" t="s">
        <v>53</v>
      </c>
    </row>
    <row r="70" spans="1:8" s="20" customFormat="1" ht="15.95" customHeight="1">
      <c r="A70" s="42" t="s">
        <v>45</v>
      </c>
      <c r="B70" s="43"/>
      <c r="C70" s="3">
        <f>SUM(C66:C69)</f>
        <v>605</v>
      </c>
      <c r="D70" s="4">
        <f>SUM(D66:D69)</f>
        <v>14.692444444444446</v>
      </c>
      <c r="E70" s="4">
        <f>SUM(E66:E69)</f>
        <v>23.544444444444444</v>
      </c>
      <c r="F70" s="4">
        <f>SUM(F66:F69)</f>
        <v>80.695000000000007</v>
      </c>
      <c r="G70" s="4">
        <f>SUM(G66:G69)</f>
        <v>511.48527777777775</v>
      </c>
      <c r="H70" s="6"/>
    </row>
    <row r="71" spans="1:8" ht="32.1" customHeight="1">
      <c r="A71" s="40" t="s">
        <v>3</v>
      </c>
      <c r="B71" s="5" t="s">
        <v>143</v>
      </c>
      <c r="C71" s="15">
        <v>100</v>
      </c>
      <c r="D71" s="7">
        <f>0.825*100/60</f>
        <v>1.375</v>
      </c>
      <c r="E71" s="7">
        <f>2.055*100/60</f>
        <v>3.4250000000000003</v>
      </c>
      <c r="F71" s="7">
        <f>6.6*100/60</f>
        <v>11</v>
      </c>
      <c r="G71" s="7">
        <f>49.48*100/60</f>
        <v>82.466666666666669</v>
      </c>
      <c r="H71" s="1" t="s">
        <v>90</v>
      </c>
    </row>
    <row r="72" spans="1:8" ht="15.95" customHeight="1">
      <c r="A72" s="41"/>
      <c r="B72" s="5" t="s">
        <v>18</v>
      </c>
      <c r="C72" s="15">
        <v>250</v>
      </c>
      <c r="D72" s="7">
        <f>7.1915*250/200</f>
        <v>8.9893750000000008</v>
      </c>
      <c r="E72" s="7">
        <f>5.6045*250/200</f>
        <v>7.0056250000000002</v>
      </c>
      <c r="F72" s="7">
        <f>21.536*250/200</f>
        <v>26.92</v>
      </c>
      <c r="G72" s="7">
        <f>171.035*250/200</f>
        <v>213.79374999999999</v>
      </c>
      <c r="H72" s="1" t="s">
        <v>69</v>
      </c>
    </row>
    <row r="73" spans="1:8" ht="15.95" customHeight="1">
      <c r="A73" s="41"/>
      <c r="B73" s="5" t="s">
        <v>113</v>
      </c>
      <c r="C73" s="15">
        <v>100</v>
      </c>
      <c r="D73" s="7">
        <f>13.97*100/90</f>
        <v>15.522222222222222</v>
      </c>
      <c r="E73" s="7">
        <f>15.017*100/90</f>
        <v>16.685555555555556</v>
      </c>
      <c r="F73" s="7">
        <f>20.995*100/90</f>
        <v>23.327777777777779</v>
      </c>
      <c r="G73" s="7">
        <f>336.85*100/90</f>
        <v>374.27777777777777</v>
      </c>
      <c r="H73" s="1" t="s">
        <v>70</v>
      </c>
    </row>
    <row r="74" spans="1:8" ht="15.95" customHeight="1">
      <c r="A74" s="41"/>
      <c r="B74" s="5" t="s">
        <v>23</v>
      </c>
      <c r="C74" s="15">
        <v>150</v>
      </c>
      <c r="D74" s="7">
        <v>2.9649999999999999</v>
      </c>
      <c r="E74" s="7">
        <v>4.8449999999999998</v>
      </c>
      <c r="F74" s="7">
        <v>34.82</v>
      </c>
      <c r="G74" s="7">
        <v>177.25</v>
      </c>
      <c r="H74" s="1" t="s">
        <v>78</v>
      </c>
    </row>
    <row r="75" spans="1:8" ht="15.95" customHeight="1">
      <c r="A75" s="41"/>
      <c r="B75" s="5" t="s">
        <v>102</v>
      </c>
      <c r="C75" s="15">
        <v>200</v>
      </c>
      <c r="D75" s="7">
        <v>0.11600000000000001</v>
      </c>
      <c r="E75" s="7">
        <v>0.108</v>
      </c>
      <c r="F75" s="7">
        <v>17.888000000000002</v>
      </c>
      <c r="G75" s="7">
        <v>74.957999999999998</v>
      </c>
      <c r="H75" s="1" t="s">
        <v>114</v>
      </c>
    </row>
    <row r="76" spans="1:8" ht="15.95" customHeight="1">
      <c r="A76" s="41"/>
      <c r="B76" s="5" t="s">
        <v>4</v>
      </c>
      <c r="C76" s="15">
        <v>70</v>
      </c>
      <c r="D76" s="7">
        <f>3.735*70/48</f>
        <v>5.4468749999999995</v>
      </c>
      <c r="E76" s="7">
        <f>0.675*70/48</f>
        <v>0.984375</v>
      </c>
      <c r="F76" s="7">
        <f>21.645*70/48</f>
        <v>31.565624999999997</v>
      </c>
      <c r="G76" s="7">
        <f>116.55*70/48</f>
        <v>169.96875</v>
      </c>
      <c r="H76" s="1" t="s">
        <v>58</v>
      </c>
    </row>
    <row r="77" spans="1:8" ht="15.95" customHeight="1">
      <c r="A77" s="41"/>
      <c r="B77" s="5" t="s">
        <v>1</v>
      </c>
      <c r="C77" s="15">
        <v>65</v>
      </c>
      <c r="D77" s="7">
        <f>3.8*65/50</f>
        <v>4.9400000000000004</v>
      </c>
      <c r="E77" s="7">
        <f>0.45*65/50</f>
        <v>0.58499999999999996</v>
      </c>
      <c r="F77" s="7">
        <f>24.75*65/50</f>
        <v>32.174999999999997</v>
      </c>
      <c r="G77" s="7">
        <f>135*65/50</f>
        <v>175.5</v>
      </c>
      <c r="H77" s="1" t="s">
        <v>59</v>
      </c>
    </row>
    <row r="78" spans="1:8" s="20" customFormat="1" ht="15.95" customHeight="1">
      <c r="A78" s="42" t="s">
        <v>46</v>
      </c>
      <c r="B78" s="43"/>
      <c r="C78" s="3">
        <f>SUM(C71:C77)</f>
        <v>935</v>
      </c>
      <c r="D78" s="4">
        <f>SUM(D71:D77)</f>
        <v>39.354472222222221</v>
      </c>
      <c r="E78" s="4">
        <f>SUM(E71:E77)</f>
        <v>33.638555555555556</v>
      </c>
      <c r="F78" s="4">
        <f>SUM(F71:F77)</f>
        <v>177.69640277777779</v>
      </c>
      <c r="G78" s="4">
        <f>SUM(G71:G77)</f>
        <v>1268.2149444444444</v>
      </c>
      <c r="H78" s="6"/>
    </row>
    <row r="79" spans="1:8" s="20" customFormat="1" ht="15.95" customHeight="1">
      <c r="A79" s="51" t="s">
        <v>136</v>
      </c>
      <c r="B79" s="5" t="s">
        <v>9</v>
      </c>
      <c r="C79" s="35">
        <v>3</v>
      </c>
      <c r="D79" s="19">
        <v>0</v>
      </c>
      <c r="E79" s="19">
        <v>0</v>
      </c>
      <c r="F79" s="19">
        <v>0</v>
      </c>
      <c r="G79" s="19">
        <v>0</v>
      </c>
      <c r="H79" s="6"/>
    </row>
    <row r="80" spans="1:8" s="20" customFormat="1" ht="15.95" customHeight="1">
      <c r="A80" s="52"/>
      <c r="B80" s="5" t="s">
        <v>137</v>
      </c>
      <c r="C80" s="36">
        <v>7.0000000000000007E-2</v>
      </c>
      <c r="D80" s="19">
        <v>5.9999999999999995E-5</v>
      </c>
      <c r="E80" s="19">
        <v>5.9999999999999995E-5</v>
      </c>
      <c r="F80" s="19">
        <f>0.057468*0.07/0.06</f>
        <v>6.7046000000000008E-2</v>
      </c>
      <c r="G80" s="19">
        <f>0.139038*0.07/0.06</f>
        <v>0.16221100000000002</v>
      </c>
      <c r="H80" s="6"/>
    </row>
    <row r="81" spans="1:8" ht="15.95" customHeight="1">
      <c r="A81" s="48" t="s">
        <v>126</v>
      </c>
      <c r="B81" s="49"/>
      <c r="C81" s="50"/>
      <c r="D81" s="4">
        <f>D70+D78+D79+D80</f>
        <v>54.046976666666666</v>
      </c>
      <c r="E81" s="4">
        <f>E70+E78+E79+E80</f>
        <v>57.183059999999998</v>
      </c>
      <c r="F81" s="4">
        <f>F70+F78+F79+F80</f>
        <v>258.45844877777779</v>
      </c>
      <c r="G81" s="4">
        <f>G70+G78+G79+G80</f>
        <v>1779.8624332222223</v>
      </c>
      <c r="H81" s="1"/>
    </row>
    <row r="82" spans="1:8" ht="15.95" customHeight="1">
      <c r="A82" s="9"/>
      <c r="B82" s="9"/>
      <c r="C82" s="13"/>
      <c r="D82" s="14"/>
      <c r="E82" s="14"/>
      <c r="F82" s="14"/>
      <c r="G82" s="14"/>
      <c r="H82" s="8"/>
    </row>
    <row r="83" spans="1:8" ht="15.95" customHeight="1">
      <c r="A83" s="9"/>
      <c r="B83" s="9"/>
      <c r="C83" s="13"/>
      <c r="D83" s="14"/>
      <c r="E83" s="14"/>
      <c r="F83" s="14"/>
      <c r="G83" s="14"/>
      <c r="H83" s="8"/>
    </row>
    <row r="84" spans="1:8" ht="15.95" customHeight="1">
      <c r="A84" s="9"/>
      <c r="B84" s="9"/>
      <c r="C84" s="13"/>
      <c r="D84" s="14"/>
      <c r="E84" s="14"/>
      <c r="F84" s="14"/>
      <c r="G84" s="14"/>
      <c r="H84" s="8"/>
    </row>
    <row r="85" spans="1:8" ht="15.95" customHeight="1">
      <c r="A85" s="9"/>
      <c r="B85" s="9"/>
      <c r="C85" s="13"/>
      <c r="D85" s="14"/>
      <c r="E85" s="14"/>
      <c r="F85" s="14"/>
      <c r="G85" s="14"/>
      <c r="H85" s="8"/>
    </row>
    <row r="86" spans="1:8" ht="15.95" customHeight="1">
      <c r="A86" s="9"/>
      <c r="B86" s="9"/>
      <c r="C86" s="13"/>
      <c r="D86" s="14"/>
      <c r="E86" s="14"/>
      <c r="F86" s="14"/>
      <c r="G86" s="14"/>
      <c r="H86" s="8"/>
    </row>
    <row r="87" spans="1:8" ht="15.95" customHeight="1">
      <c r="A87" s="9"/>
      <c r="B87" s="10"/>
      <c r="C87" s="11"/>
      <c r="D87" s="22"/>
      <c r="E87" s="22"/>
      <c r="F87" s="22"/>
      <c r="G87" s="22"/>
      <c r="H87" s="8"/>
    </row>
    <row r="88" spans="1:8" ht="15.95" customHeight="1">
      <c r="A88" s="9"/>
      <c r="B88" s="10"/>
      <c r="C88" s="11"/>
      <c r="D88" s="26"/>
      <c r="E88" s="26"/>
      <c r="F88" s="26"/>
      <c r="G88" s="26"/>
      <c r="H88" s="8"/>
    </row>
    <row r="89" spans="1:8" ht="15.95" customHeight="1">
      <c r="A89" s="9"/>
      <c r="B89" s="9"/>
      <c r="C89" s="13"/>
      <c r="D89" s="14"/>
      <c r="E89" s="14"/>
      <c r="F89" s="14"/>
      <c r="G89" s="14"/>
      <c r="H89" s="8"/>
    </row>
    <row r="90" spans="1:8" ht="15.95" customHeight="1">
      <c r="A90" s="9"/>
      <c r="B90" s="9"/>
      <c r="C90" s="13"/>
      <c r="D90" s="14"/>
      <c r="E90" s="14"/>
      <c r="F90" s="14"/>
      <c r="G90" s="14"/>
      <c r="H90" s="8"/>
    </row>
    <row r="91" spans="1:8" ht="15.95" customHeight="1">
      <c r="A91" s="9"/>
      <c r="B91" s="9"/>
      <c r="C91" s="13"/>
      <c r="D91" s="14"/>
      <c r="E91" s="14"/>
      <c r="F91" s="14"/>
      <c r="G91" s="14"/>
      <c r="H91" s="8"/>
    </row>
    <row r="92" spans="1:8" ht="15.95" customHeight="1">
      <c r="A92" s="9"/>
      <c r="B92" s="9"/>
      <c r="C92" s="13"/>
      <c r="D92" s="14"/>
      <c r="E92" s="14"/>
      <c r="F92" s="14"/>
      <c r="G92" s="14"/>
      <c r="H92" s="8">
        <v>4</v>
      </c>
    </row>
    <row r="93" spans="1:8" ht="15.95" customHeight="1">
      <c r="A93" s="9"/>
      <c r="B93" s="9"/>
      <c r="C93" s="13"/>
      <c r="D93" s="14"/>
      <c r="E93" s="14"/>
      <c r="F93" s="14"/>
      <c r="G93" s="14"/>
      <c r="H93" s="8"/>
    </row>
    <row r="94" spans="1:8" ht="39.950000000000003" customHeight="1">
      <c r="A94" s="60" t="s">
        <v>72</v>
      </c>
      <c r="B94" s="61"/>
      <c r="C94" s="61"/>
      <c r="D94" s="61"/>
      <c r="E94" s="61"/>
      <c r="F94" s="61"/>
      <c r="G94" s="61"/>
      <c r="H94" s="62"/>
    </row>
    <row r="95" spans="1:8" ht="15.95" customHeight="1">
      <c r="A95" s="44" t="s">
        <v>38</v>
      </c>
      <c r="B95" s="45" t="s">
        <v>48</v>
      </c>
      <c r="C95" s="46" t="s">
        <v>39</v>
      </c>
      <c r="D95" s="53" t="s">
        <v>40</v>
      </c>
      <c r="E95" s="54"/>
      <c r="F95" s="55"/>
      <c r="G95" s="56" t="s">
        <v>41</v>
      </c>
      <c r="H95" s="58" t="s">
        <v>42</v>
      </c>
    </row>
    <row r="96" spans="1:8" ht="30" customHeight="1">
      <c r="A96" s="44"/>
      <c r="B96" s="45"/>
      <c r="C96" s="47"/>
      <c r="D96" s="17" t="s">
        <v>43</v>
      </c>
      <c r="E96" s="17" t="s">
        <v>44</v>
      </c>
      <c r="F96" s="18" t="s">
        <v>49</v>
      </c>
      <c r="G96" s="57"/>
      <c r="H96" s="59"/>
    </row>
    <row r="97" spans="1:8" ht="15.95" customHeight="1">
      <c r="A97" s="40" t="s">
        <v>0</v>
      </c>
      <c r="B97" s="5" t="s">
        <v>115</v>
      </c>
      <c r="C97" s="15">
        <v>200</v>
      </c>
      <c r="D97" s="7">
        <f>12.236*200/150</f>
        <v>16.314666666666668</v>
      </c>
      <c r="E97" s="7">
        <f>14.072*200/150</f>
        <v>18.762666666666664</v>
      </c>
      <c r="F97" s="7">
        <f>22.28*200/150</f>
        <v>29.706666666666667</v>
      </c>
      <c r="G97" s="7">
        <f>275.49*200/150</f>
        <v>367.32</v>
      </c>
      <c r="H97" s="1" t="s">
        <v>73</v>
      </c>
    </row>
    <row r="98" spans="1:8" ht="15.95" customHeight="1">
      <c r="A98" s="41"/>
      <c r="B98" s="5" t="s">
        <v>103</v>
      </c>
      <c r="C98" s="15">
        <v>20</v>
      </c>
      <c r="D98" s="7">
        <v>0.39800000000000002</v>
      </c>
      <c r="E98" s="7">
        <v>1.1559999999999999</v>
      </c>
      <c r="F98" s="7">
        <v>2.9803999999999999</v>
      </c>
      <c r="G98" s="7">
        <v>23.001999999999999</v>
      </c>
      <c r="H98" s="1" t="s">
        <v>116</v>
      </c>
    </row>
    <row r="99" spans="1:8" ht="15.95" customHeight="1">
      <c r="A99" s="41"/>
      <c r="B99" s="5" t="s">
        <v>13</v>
      </c>
      <c r="C99" s="15">
        <v>45</v>
      </c>
      <c r="D99" s="7">
        <f>2.22857142857143*45/40</f>
        <v>2.5071428571428589</v>
      </c>
      <c r="E99" s="7">
        <f>7.4*45/40</f>
        <v>8.3249999999999993</v>
      </c>
      <c r="F99" s="7">
        <f>15.66*45/40</f>
        <v>17.6175</v>
      </c>
      <c r="G99" s="7">
        <f>96.3428571428571*45/40</f>
        <v>108.38571428571424</v>
      </c>
      <c r="H99" s="1" t="s">
        <v>62</v>
      </c>
    </row>
    <row r="100" spans="1:8" ht="15.95" customHeight="1">
      <c r="A100" s="41"/>
      <c r="B100" s="5" t="s">
        <v>2</v>
      </c>
      <c r="C100" s="15">
        <v>100</v>
      </c>
      <c r="D100" s="7">
        <v>1</v>
      </c>
      <c r="E100" s="7">
        <v>0.4</v>
      </c>
      <c r="F100" s="7">
        <v>15.4</v>
      </c>
      <c r="G100" s="7">
        <v>71.5</v>
      </c>
      <c r="H100" s="1" t="s">
        <v>53</v>
      </c>
    </row>
    <row r="101" spans="1:8" ht="15.95" customHeight="1">
      <c r="A101" s="41"/>
      <c r="B101" s="5" t="s">
        <v>20</v>
      </c>
      <c r="C101" s="15">
        <v>200</v>
      </c>
      <c r="D101" s="7">
        <v>2.0960000000000001</v>
      </c>
      <c r="E101" s="7">
        <v>4.18</v>
      </c>
      <c r="F101" s="7">
        <v>11.42</v>
      </c>
      <c r="G101" s="7">
        <v>87.71</v>
      </c>
      <c r="H101" s="1" t="s">
        <v>74</v>
      </c>
    </row>
    <row r="102" spans="1:8" s="20" customFormat="1" ht="15.95" customHeight="1">
      <c r="A102" s="42" t="s">
        <v>45</v>
      </c>
      <c r="B102" s="43"/>
      <c r="C102" s="3">
        <f>SUM(C97:C101)</f>
        <v>565</v>
      </c>
      <c r="D102" s="4">
        <f>SUM(D97:D101)</f>
        <v>22.315809523809527</v>
      </c>
      <c r="E102" s="4">
        <f>SUM(E97:E101)</f>
        <v>32.823666666666661</v>
      </c>
      <c r="F102" s="4">
        <f>SUM(F97:F101)</f>
        <v>77.124566666666666</v>
      </c>
      <c r="G102" s="4">
        <f>SUM(G97:G101)</f>
        <v>657.91771428571428</v>
      </c>
      <c r="H102" s="6"/>
    </row>
    <row r="103" spans="1:8" ht="32.1" customHeight="1">
      <c r="A103" s="40" t="s">
        <v>3</v>
      </c>
      <c r="B103" s="5" t="s">
        <v>140</v>
      </c>
      <c r="C103" s="15">
        <v>100</v>
      </c>
      <c r="D103" s="7">
        <f>0.504*100/60</f>
        <v>0.84</v>
      </c>
      <c r="E103" s="7">
        <f>0.063*100/60</f>
        <v>0.105</v>
      </c>
      <c r="F103" s="7">
        <f>1.071*100/60</f>
        <v>1.7849999999999999</v>
      </c>
      <c r="G103" s="7">
        <f>8.19*100/60</f>
        <v>13.65</v>
      </c>
      <c r="H103" s="1" t="s">
        <v>95</v>
      </c>
    </row>
    <row r="104" spans="1:8" ht="15.95" customHeight="1">
      <c r="A104" s="41"/>
      <c r="B104" s="5" t="s">
        <v>21</v>
      </c>
      <c r="C104" s="15">
        <v>250</v>
      </c>
      <c r="D104" s="7">
        <f>6.724*250/200</f>
        <v>8.4049999999999994</v>
      </c>
      <c r="E104" s="7">
        <f>3.6228*250/200</f>
        <v>4.5284999999999993</v>
      </c>
      <c r="F104" s="7">
        <f>18.22*250/200</f>
        <v>22.774999999999999</v>
      </c>
      <c r="G104" s="7">
        <f>152.939*250/200</f>
        <v>191.17375000000001</v>
      </c>
      <c r="H104" s="1" t="s">
        <v>76</v>
      </c>
    </row>
    <row r="105" spans="1:8" ht="15.95" customHeight="1">
      <c r="A105" s="41"/>
      <c r="B105" s="5" t="s">
        <v>22</v>
      </c>
      <c r="C105" s="15">
        <v>100</v>
      </c>
      <c r="D105" s="7">
        <f>10.468*100/90</f>
        <v>11.63111111111111</v>
      </c>
      <c r="E105" s="7">
        <f>6.2096*100/90</f>
        <v>6.8995555555555557</v>
      </c>
      <c r="F105" s="7">
        <f>10.6741*100/90</f>
        <v>11.860111111111109</v>
      </c>
      <c r="G105" s="7">
        <f>191.644*100/90</f>
        <v>212.9377777777778</v>
      </c>
      <c r="H105" s="1" t="s">
        <v>77</v>
      </c>
    </row>
    <row r="106" spans="1:8" ht="15.95" customHeight="1">
      <c r="A106" s="41"/>
      <c r="B106" s="5" t="s">
        <v>27</v>
      </c>
      <c r="C106" s="15">
        <v>180</v>
      </c>
      <c r="D106" s="7">
        <f>4.385*180/150</f>
        <v>5.2619999999999996</v>
      </c>
      <c r="E106" s="7">
        <f>7.475*180/150</f>
        <v>8.9700000000000006</v>
      </c>
      <c r="F106" s="7">
        <f>35.806*180/150</f>
        <v>42.967199999999998</v>
      </c>
      <c r="G106" s="7">
        <f>221.86*180/150</f>
        <v>266.23200000000003</v>
      </c>
      <c r="H106" s="1" t="s">
        <v>83</v>
      </c>
    </row>
    <row r="107" spans="1:8" ht="15.95" customHeight="1">
      <c r="A107" s="41"/>
      <c r="B107" s="5" t="s">
        <v>24</v>
      </c>
      <c r="C107" s="15">
        <v>200</v>
      </c>
      <c r="D107" s="7">
        <v>0.108</v>
      </c>
      <c r="E107" s="7">
        <v>0.108</v>
      </c>
      <c r="F107" s="7">
        <v>11.628</v>
      </c>
      <c r="G107" s="7">
        <v>47.898000000000003</v>
      </c>
      <c r="H107" s="1" t="s">
        <v>79</v>
      </c>
    </row>
    <row r="108" spans="1:8" ht="15.95" customHeight="1">
      <c r="A108" s="41"/>
      <c r="B108" s="5" t="s">
        <v>4</v>
      </c>
      <c r="C108" s="15">
        <v>70</v>
      </c>
      <c r="D108" s="7">
        <f>3.735*70/48</f>
        <v>5.4468749999999995</v>
      </c>
      <c r="E108" s="7">
        <f>0.675*70/48</f>
        <v>0.984375</v>
      </c>
      <c r="F108" s="7">
        <f>21.645*70/48</f>
        <v>31.565624999999997</v>
      </c>
      <c r="G108" s="7">
        <f>116.55*70/48</f>
        <v>169.96875</v>
      </c>
      <c r="H108" s="1" t="s">
        <v>58</v>
      </c>
    </row>
    <row r="109" spans="1:8" ht="15.95" customHeight="1">
      <c r="A109" s="41"/>
      <c r="B109" s="5" t="s">
        <v>1</v>
      </c>
      <c r="C109" s="15">
        <v>65</v>
      </c>
      <c r="D109" s="7">
        <f>3.8*65/50</f>
        <v>4.9400000000000004</v>
      </c>
      <c r="E109" s="7">
        <f>0.45*65/50</f>
        <v>0.58499999999999996</v>
      </c>
      <c r="F109" s="7">
        <f>24.75*65/50</f>
        <v>32.174999999999997</v>
      </c>
      <c r="G109" s="7">
        <f>135*65/50</f>
        <v>175.5</v>
      </c>
      <c r="H109" s="1" t="s">
        <v>59</v>
      </c>
    </row>
    <row r="110" spans="1:8" s="20" customFormat="1" ht="15.95" customHeight="1">
      <c r="A110" s="42" t="s">
        <v>46</v>
      </c>
      <c r="B110" s="43"/>
      <c r="C110" s="3">
        <f>SUM(C103:C109)</f>
        <v>965</v>
      </c>
      <c r="D110" s="4">
        <f>SUM(D103:D109)</f>
        <v>36.632986111111109</v>
      </c>
      <c r="E110" s="4">
        <f>SUM(E103:E109)</f>
        <v>22.180430555555557</v>
      </c>
      <c r="F110" s="4">
        <f>SUM(F103:F109)</f>
        <v>154.75593611111111</v>
      </c>
      <c r="G110" s="4">
        <f>SUM(G103:G109)</f>
        <v>1077.3602777777778</v>
      </c>
      <c r="H110" s="6"/>
    </row>
    <row r="111" spans="1:8" s="20" customFormat="1" ht="15.95" customHeight="1">
      <c r="A111" s="51" t="s">
        <v>136</v>
      </c>
      <c r="B111" s="5" t="s">
        <v>9</v>
      </c>
      <c r="C111" s="35">
        <v>3</v>
      </c>
      <c r="D111" s="19">
        <v>0</v>
      </c>
      <c r="E111" s="19">
        <v>0</v>
      </c>
      <c r="F111" s="19">
        <v>0</v>
      </c>
      <c r="G111" s="19">
        <v>0</v>
      </c>
      <c r="H111" s="6"/>
    </row>
    <row r="112" spans="1:8" s="20" customFormat="1" ht="15.95" customHeight="1">
      <c r="A112" s="52"/>
      <c r="B112" s="5" t="s">
        <v>137</v>
      </c>
      <c r="C112" s="36">
        <v>7.0000000000000007E-2</v>
      </c>
      <c r="D112" s="19">
        <v>5.9999999999999995E-5</v>
      </c>
      <c r="E112" s="19">
        <v>5.9999999999999995E-5</v>
      </c>
      <c r="F112" s="19">
        <f>0.057468*0.07/0.06</f>
        <v>6.7046000000000008E-2</v>
      </c>
      <c r="G112" s="19">
        <f>0.139038*0.07/0.06</f>
        <v>0.16221100000000002</v>
      </c>
      <c r="H112" s="6"/>
    </row>
    <row r="113" spans="1:8" ht="15.95" customHeight="1">
      <c r="A113" s="48" t="s">
        <v>127</v>
      </c>
      <c r="B113" s="49"/>
      <c r="C113" s="50"/>
      <c r="D113" s="4">
        <f>D102+D110+D111+D112</f>
        <v>58.948855634920633</v>
      </c>
      <c r="E113" s="4">
        <f>E102+E110+E111+E112</f>
        <v>55.004157222222211</v>
      </c>
      <c r="F113" s="4">
        <f>F102+F110+F111+F112</f>
        <v>231.9475487777778</v>
      </c>
      <c r="G113" s="4">
        <f>G102+G110+G111+G112</f>
        <v>1735.4402030634922</v>
      </c>
      <c r="H113" s="1"/>
    </row>
    <row r="114" spans="1:8" ht="15.95" customHeight="1">
      <c r="A114" s="9"/>
      <c r="B114" s="9"/>
      <c r="C114" s="13"/>
      <c r="D114" s="14"/>
      <c r="E114" s="14"/>
      <c r="F114" s="14"/>
      <c r="G114" s="14"/>
      <c r="H114" s="8"/>
    </row>
    <row r="115" spans="1:8" ht="15.95" customHeight="1">
      <c r="A115" s="9"/>
      <c r="B115" s="9"/>
      <c r="C115" s="13"/>
      <c r="D115" s="14"/>
      <c r="E115" s="14"/>
      <c r="F115" s="14"/>
      <c r="G115" s="14"/>
      <c r="H115" s="8"/>
    </row>
    <row r="116" spans="1:8" ht="15.95" customHeight="1">
      <c r="A116" s="9"/>
      <c r="B116" s="9"/>
      <c r="C116" s="13"/>
      <c r="D116" s="14"/>
      <c r="E116" s="14"/>
      <c r="F116" s="14"/>
      <c r="G116" s="14"/>
      <c r="H116" s="8"/>
    </row>
    <row r="117" spans="1:8" ht="15.95" customHeight="1">
      <c r="A117" s="9"/>
      <c r="B117" s="9"/>
      <c r="C117" s="13"/>
      <c r="D117" s="14"/>
      <c r="E117" s="14"/>
      <c r="F117" s="14"/>
      <c r="G117" s="14"/>
      <c r="H117" s="8"/>
    </row>
    <row r="118" spans="1:8" ht="15.95" customHeight="1">
      <c r="A118" s="9"/>
      <c r="B118" s="9"/>
      <c r="C118" s="13"/>
      <c r="D118" s="14"/>
      <c r="E118" s="14"/>
      <c r="F118" s="14"/>
      <c r="G118" s="14"/>
      <c r="H118" s="8"/>
    </row>
    <row r="119" spans="1:8" ht="15.95" customHeight="1">
      <c r="A119" s="9"/>
      <c r="B119" s="9"/>
      <c r="C119" s="13"/>
      <c r="D119" s="22"/>
      <c r="E119" s="22"/>
      <c r="F119" s="22"/>
      <c r="G119" s="22"/>
      <c r="H119" s="8"/>
    </row>
    <row r="120" spans="1:8" ht="15.95" customHeight="1">
      <c r="A120" s="9"/>
      <c r="B120" s="9"/>
      <c r="C120" s="13"/>
      <c r="D120" s="14"/>
      <c r="E120" s="14"/>
      <c r="F120" s="14"/>
      <c r="G120" s="14"/>
      <c r="H120" s="8"/>
    </row>
    <row r="121" spans="1:8" ht="15.95" customHeight="1">
      <c r="A121" s="9"/>
      <c r="B121" s="9"/>
      <c r="C121" s="13"/>
      <c r="D121" s="14"/>
      <c r="E121" s="14"/>
      <c r="F121" s="14"/>
      <c r="G121" s="14"/>
      <c r="H121" s="8"/>
    </row>
    <row r="122" spans="1:8" ht="15.95" customHeight="1">
      <c r="A122" s="9"/>
      <c r="B122" s="9"/>
      <c r="C122" s="13"/>
      <c r="D122" s="14"/>
      <c r="E122" s="14"/>
      <c r="F122" s="14"/>
      <c r="G122" s="14"/>
      <c r="H122" s="8"/>
    </row>
    <row r="123" spans="1:8" ht="15.95" customHeight="1">
      <c r="A123" s="9"/>
      <c r="B123" s="9"/>
      <c r="C123" s="13"/>
      <c r="D123" s="14"/>
      <c r="E123" s="14"/>
      <c r="F123" s="14"/>
      <c r="G123" s="14"/>
      <c r="H123" s="8">
        <v>5</v>
      </c>
    </row>
    <row r="124" spans="1:8" ht="15.95" customHeight="1">
      <c r="A124" s="9"/>
      <c r="B124" s="9"/>
      <c r="C124" s="13"/>
      <c r="D124" s="14"/>
      <c r="E124" s="14"/>
      <c r="F124" s="14"/>
      <c r="G124" s="14"/>
      <c r="H124" s="8"/>
    </row>
    <row r="125" spans="1:8" ht="39.950000000000003" customHeight="1">
      <c r="A125" s="60" t="s">
        <v>80</v>
      </c>
      <c r="B125" s="61"/>
      <c r="C125" s="61"/>
      <c r="D125" s="61"/>
      <c r="E125" s="61"/>
      <c r="F125" s="61"/>
      <c r="G125" s="61"/>
      <c r="H125" s="62"/>
    </row>
    <row r="126" spans="1:8" ht="15.95" customHeight="1">
      <c r="A126" s="44" t="s">
        <v>38</v>
      </c>
      <c r="B126" s="45" t="s">
        <v>48</v>
      </c>
      <c r="C126" s="46" t="s">
        <v>39</v>
      </c>
      <c r="D126" s="53" t="s">
        <v>40</v>
      </c>
      <c r="E126" s="54"/>
      <c r="F126" s="55"/>
      <c r="G126" s="56" t="s">
        <v>41</v>
      </c>
      <c r="H126" s="58" t="s">
        <v>42</v>
      </c>
    </row>
    <row r="127" spans="1:8" ht="30" customHeight="1">
      <c r="A127" s="44"/>
      <c r="B127" s="45"/>
      <c r="C127" s="47"/>
      <c r="D127" s="17" t="s">
        <v>43</v>
      </c>
      <c r="E127" s="17" t="s">
        <v>44</v>
      </c>
      <c r="F127" s="18" t="s">
        <v>49</v>
      </c>
      <c r="G127" s="57"/>
      <c r="H127" s="59"/>
    </row>
    <row r="128" spans="1:8" ht="15.95" customHeight="1">
      <c r="A128" s="40" t="s">
        <v>0</v>
      </c>
      <c r="B128" s="5" t="s">
        <v>104</v>
      </c>
      <c r="C128" s="15">
        <v>250</v>
      </c>
      <c r="D128" s="7">
        <f>5.9625*250/230</f>
        <v>6.4809782608695654</v>
      </c>
      <c r="E128" s="7">
        <f>6.7975*250/230</f>
        <v>7.3885869565217392</v>
      </c>
      <c r="F128" s="7">
        <f>20.445*250/230</f>
        <v>22.222826086956523</v>
      </c>
      <c r="G128" s="7">
        <f>186.73*250/230</f>
        <v>202.96739130434781</v>
      </c>
      <c r="H128" s="1" t="s">
        <v>117</v>
      </c>
    </row>
    <row r="129" spans="1:8" ht="15.95" customHeight="1">
      <c r="A129" s="41"/>
      <c r="B129" s="5" t="s">
        <v>25</v>
      </c>
      <c r="C129" s="15">
        <v>55</v>
      </c>
      <c r="D129" s="7">
        <v>5.1944444444444446</v>
      </c>
      <c r="E129" s="7">
        <v>11.464444444444446</v>
      </c>
      <c r="F129" s="7">
        <v>20.228999999999999</v>
      </c>
      <c r="G129" s="7">
        <v>145.07777777777778</v>
      </c>
      <c r="H129" s="1" t="s">
        <v>81</v>
      </c>
    </row>
    <row r="130" spans="1:8" ht="15.95" customHeight="1">
      <c r="A130" s="41"/>
      <c r="B130" s="5" t="s">
        <v>17</v>
      </c>
      <c r="C130" s="15">
        <v>200</v>
      </c>
      <c r="D130" s="7">
        <v>6.9999999999999999E-4</v>
      </c>
      <c r="E130" s="7">
        <v>0</v>
      </c>
      <c r="F130" s="7">
        <v>7.0350000000000001</v>
      </c>
      <c r="G130" s="7">
        <v>28.126000000000001</v>
      </c>
      <c r="H130" s="1" t="s">
        <v>68</v>
      </c>
    </row>
    <row r="131" spans="1:8" ht="15.95" customHeight="1">
      <c r="A131" s="41"/>
      <c r="B131" s="5" t="s">
        <v>6</v>
      </c>
      <c r="C131" s="15">
        <v>50</v>
      </c>
      <c r="D131" s="7">
        <f>2.25*50/30</f>
        <v>3.75</v>
      </c>
      <c r="E131" s="7">
        <f>3.54*50/30</f>
        <v>5.9</v>
      </c>
      <c r="F131" s="7">
        <f>32.47*50/30</f>
        <v>54.116666666666667</v>
      </c>
      <c r="G131" s="7">
        <f>125.13*50/30</f>
        <v>208.55</v>
      </c>
      <c r="H131" s="1"/>
    </row>
    <row r="132" spans="1:8" s="20" customFormat="1" ht="15.95" customHeight="1">
      <c r="A132" s="42" t="s">
        <v>45</v>
      </c>
      <c r="B132" s="43"/>
      <c r="C132" s="3">
        <f>SUM(C128:C131)</f>
        <v>555</v>
      </c>
      <c r="D132" s="4">
        <f>SUM(D128:D131)</f>
        <v>15.426122705314009</v>
      </c>
      <c r="E132" s="4">
        <f>SUM(E128:E131)</f>
        <v>24.753031400966186</v>
      </c>
      <c r="F132" s="4">
        <f>SUM(F128:F131)</f>
        <v>103.60349275362319</v>
      </c>
      <c r="G132" s="4">
        <f>SUM(G128:G131)</f>
        <v>584.72116908212558</v>
      </c>
      <c r="H132" s="6"/>
    </row>
    <row r="133" spans="1:8" ht="32.1" customHeight="1">
      <c r="A133" s="40" t="s">
        <v>3</v>
      </c>
      <c r="B133" s="5" t="s">
        <v>141</v>
      </c>
      <c r="C133" s="15">
        <v>100</v>
      </c>
      <c r="D133" s="7">
        <f>0.96*100/60</f>
        <v>1.6</v>
      </c>
      <c r="E133" s="7">
        <f>3.78*100/60</f>
        <v>6.3</v>
      </c>
      <c r="F133" s="7">
        <f>4.44*100/60</f>
        <v>7.4000000000000012</v>
      </c>
      <c r="G133" s="7">
        <f>54.48*100/60</f>
        <v>90.8</v>
      </c>
      <c r="H133" s="1" t="s">
        <v>112</v>
      </c>
    </row>
    <row r="134" spans="1:8" ht="15.95" customHeight="1">
      <c r="A134" s="41"/>
      <c r="B134" s="5" t="s">
        <v>122</v>
      </c>
      <c r="C134" s="15">
        <v>250</v>
      </c>
      <c r="D134" s="7">
        <f>3.927*250/200</f>
        <v>4.9087500000000004</v>
      </c>
      <c r="E134" s="7">
        <f>3.9678*250/200</f>
        <v>4.9597500000000005</v>
      </c>
      <c r="F134" s="7">
        <f>17.9576*250/200</f>
        <v>22.446999999999999</v>
      </c>
      <c r="G134" s="7">
        <f>117.109*250/200</f>
        <v>146.38624999999999</v>
      </c>
      <c r="H134" s="1" t="s">
        <v>82</v>
      </c>
    </row>
    <row r="135" spans="1:8" ht="15.95" customHeight="1">
      <c r="A135" s="41"/>
      <c r="B135" s="5" t="s">
        <v>26</v>
      </c>
      <c r="C135" s="15">
        <v>100</v>
      </c>
      <c r="D135" s="7">
        <f>14.1965*100/90</f>
        <v>15.773888888888889</v>
      </c>
      <c r="E135" s="7">
        <f>13.5701*100/90</f>
        <v>15.077888888888889</v>
      </c>
      <c r="F135" s="7">
        <f>15.4751*100/90</f>
        <v>17.194555555555556</v>
      </c>
      <c r="G135" s="7">
        <f>281.444*100/90</f>
        <v>312.71555555555557</v>
      </c>
      <c r="H135" s="1" t="s">
        <v>118</v>
      </c>
    </row>
    <row r="136" spans="1:8" ht="15.95" customHeight="1">
      <c r="A136" s="41"/>
      <c r="B136" s="5" t="s">
        <v>19</v>
      </c>
      <c r="C136" s="15">
        <v>180</v>
      </c>
      <c r="D136" s="7">
        <f>5.3625*180/150</f>
        <v>6.4349999999999996</v>
      </c>
      <c r="E136" s="7">
        <f>5.1549*180/150</f>
        <v>6.18588</v>
      </c>
      <c r="F136" s="7">
        <f>30.1314*180/150</f>
        <v>36.157679999999999</v>
      </c>
      <c r="G136" s="7">
        <f>188.258*180/150</f>
        <v>225.90960000000001</v>
      </c>
      <c r="H136" s="1" t="s">
        <v>71</v>
      </c>
    </row>
    <row r="137" spans="1:8" ht="15.95" customHeight="1">
      <c r="A137" s="41"/>
      <c r="B137" s="5" t="s">
        <v>16</v>
      </c>
      <c r="C137" s="15">
        <v>200</v>
      </c>
      <c r="D137" s="7">
        <v>0</v>
      </c>
      <c r="E137" s="7">
        <v>0</v>
      </c>
      <c r="F137" s="7">
        <v>11.231999999999999</v>
      </c>
      <c r="G137" s="7">
        <v>41.91</v>
      </c>
      <c r="H137" s="1" t="s">
        <v>66</v>
      </c>
    </row>
    <row r="138" spans="1:8" ht="15.95" customHeight="1">
      <c r="A138" s="41"/>
      <c r="B138" s="5" t="s">
        <v>4</v>
      </c>
      <c r="C138" s="15">
        <v>70</v>
      </c>
      <c r="D138" s="7">
        <f>3.735*70/48</f>
        <v>5.4468749999999995</v>
      </c>
      <c r="E138" s="7">
        <f>0.675*70/48</f>
        <v>0.984375</v>
      </c>
      <c r="F138" s="7">
        <f>21.645*70/48</f>
        <v>31.565624999999997</v>
      </c>
      <c r="G138" s="7">
        <f>116.55*70/48</f>
        <v>169.96875</v>
      </c>
      <c r="H138" s="1" t="s">
        <v>58</v>
      </c>
    </row>
    <row r="139" spans="1:8" ht="15.95" customHeight="1">
      <c r="A139" s="41"/>
      <c r="B139" s="5" t="s">
        <v>1</v>
      </c>
      <c r="C139" s="15">
        <v>65</v>
      </c>
      <c r="D139" s="7">
        <f>3.8*65/50</f>
        <v>4.9400000000000004</v>
      </c>
      <c r="E139" s="7">
        <f>0.45*65/50</f>
        <v>0.58499999999999996</v>
      </c>
      <c r="F139" s="7">
        <f>24.75*65/50</f>
        <v>32.174999999999997</v>
      </c>
      <c r="G139" s="7">
        <f>135*65/50</f>
        <v>175.5</v>
      </c>
      <c r="H139" s="1" t="s">
        <v>59</v>
      </c>
    </row>
    <row r="140" spans="1:8" s="20" customFormat="1" ht="15.95" customHeight="1">
      <c r="A140" s="42" t="s">
        <v>46</v>
      </c>
      <c r="B140" s="43"/>
      <c r="C140" s="3">
        <f>SUM(C133:C139)</f>
        <v>965</v>
      </c>
      <c r="D140" s="4">
        <f>SUM(D133:D139)</f>
        <v>39.104513888888889</v>
      </c>
      <c r="E140" s="4">
        <f>SUM(E133:E139)</f>
        <v>34.092893888888888</v>
      </c>
      <c r="F140" s="4">
        <f>SUM(F133:F139)</f>
        <v>158.17186055555555</v>
      </c>
      <c r="G140" s="4">
        <f>SUM(G133:G139)</f>
        <v>1163.1901555555555</v>
      </c>
      <c r="H140" s="6"/>
    </row>
    <row r="141" spans="1:8" s="20" customFormat="1" ht="15.95" customHeight="1">
      <c r="A141" s="51" t="s">
        <v>136</v>
      </c>
      <c r="B141" s="5" t="s">
        <v>9</v>
      </c>
      <c r="C141" s="35">
        <v>3</v>
      </c>
      <c r="D141" s="19">
        <v>0</v>
      </c>
      <c r="E141" s="19">
        <v>0</v>
      </c>
      <c r="F141" s="19">
        <v>0</v>
      </c>
      <c r="G141" s="19">
        <v>0</v>
      </c>
      <c r="H141" s="6"/>
    </row>
    <row r="142" spans="1:8" s="20" customFormat="1" ht="15.95" customHeight="1">
      <c r="A142" s="52"/>
      <c r="B142" s="5" t="s">
        <v>137</v>
      </c>
      <c r="C142" s="36">
        <v>7.0000000000000007E-2</v>
      </c>
      <c r="D142" s="19">
        <v>5.9999999999999995E-5</v>
      </c>
      <c r="E142" s="19">
        <v>5.9999999999999995E-5</v>
      </c>
      <c r="F142" s="19">
        <f>0.057468*0.07/0.06</f>
        <v>6.7046000000000008E-2</v>
      </c>
      <c r="G142" s="19">
        <f>0.139038*0.07/0.06</f>
        <v>0.16221100000000002</v>
      </c>
      <c r="H142" s="6"/>
    </row>
    <row r="143" spans="1:8" ht="15.95" customHeight="1">
      <c r="A143" s="48" t="s">
        <v>128</v>
      </c>
      <c r="B143" s="49"/>
      <c r="C143" s="50"/>
      <c r="D143" s="4">
        <f>D132+D140+D141+D142</f>
        <v>54.530696594202894</v>
      </c>
      <c r="E143" s="4">
        <f>E132+E140+E141+E142</f>
        <v>58.845985289855072</v>
      </c>
      <c r="F143" s="4">
        <f>F132+F140+F141+F142</f>
        <v>261.84239930917875</v>
      </c>
      <c r="G143" s="4">
        <f>G132+G140+G141+G142</f>
        <v>1748.0735356376811</v>
      </c>
      <c r="H143" s="1"/>
    </row>
    <row r="144" spans="1:8" ht="15.95" customHeight="1">
      <c r="A144" s="48" t="s">
        <v>138</v>
      </c>
      <c r="B144" s="49"/>
      <c r="C144" s="50"/>
      <c r="D144" s="4">
        <f>(D19+D49+D81+D113+D143)/5</f>
        <v>55.608375017253273</v>
      </c>
      <c r="E144" s="4">
        <f>(E19+E49+E81+E113+E143)/5</f>
        <v>56.481478946859895</v>
      </c>
      <c r="F144" s="4">
        <f>(F19+F49+F81+F113+F143)/5</f>
        <v>247.36007388405795</v>
      </c>
      <c r="G144" s="4">
        <f>(G19+G49+G81+G113+G143)/5</f>
        <v>1740.7157394195997</v>
      </c>
      <c r="H144" s="4"/>
    </row>
    <row r="145" spans="1:8" ht="15.95" customHeight="1">
      <c r="A145" s="9"/>
      <c r="B145" s="9"/>
      <c r="C145" s="13"/>
      <c r="D145" s="22"/>
      <c r="E145" s="22"/>
      <c r="F145" s="22"/>
      <c r="G145" s="22"/>
      <c r="H145" s="8"/>
    </row>
    <row r="146" spans="1:8" ht="15.95" customHeight="1">
      <c r="A146" s="9"/>
      <c r="B146" s="9"/>
      <c r="C146" s="13"/>
      <c r="D146" s="22"/>
      <c r="E146" s="22"/>
      <c r="F146" s="22"/>
      <c r="G146" s="22"/>
      <c r="H146" s="8"/>
    </row>
    <row r="147" spans="1:8" ht="15.95" customHeight="1">
      <c r="A147" s="9"/>
      <c r="B147" s="9"/>
      <c r="C147" s="13"/>
      <c r="D147" s="22"/>
      <c r="E147" s="22"/>
      <c r="F147" s="22"/>
      <c r="G147" s="22"/>
      <c r="H147" s="8"/>
    </row>
    <row r="148" spans="1:8" ht="15.95" customHeight="1">
      <c r="A148" s="9"/>
      <c r="B148" s="9"/>
      <c r="C148" s="13"/>
      <c r="D148" s="22"/>
      <c r="E148" s="22"/>
      <c r="F148" s="22"/>
      <c r="G148" s="22"/>
      <c r="H148" s="8"/>
    </row>
    <row r="149" spans="1:8" ht="15.95" customHeight="1">
      <c r="A149" s="9"/>
      <c r="B149" s="9"/>
      <c r="C149" s="13"/>
      <c r="D149" s="22"/>
      <c r="E149" s="22"/>
      <c r="F149" s="22"/>
      <c r="G149" s="22"/>
      <c r="H149" s="8"/>
    </row>
    <row r="150" spans="1:8" ht="15.95" customHeight="1">
      <c r="A150" s="9"/>
      <c r="B150" s="9"/>
      <c r="C150" s="13"/>
      <c r="D150" s="14"/>
      <c r="E150" s="14"/>
      <c r="F150" s="14"/>
      <c r="G150" s="14"/>
      <c r="H150" s="8"/>
    </row>
    <row r="151" spans="1:8" ht="15.95" customHeight="1">
      <c r="A151" s="9"/>
      <c r="B151" s="9"/>
      <c r="C151" s="13"/>
      <c r="D151" s="14"/>
      <c r="E151" s="14"/>
      <c r="F151" s="14"/>
      <c r="G151" s="14"/>
      <c r="H151" s="8"/>
    </row>
    <row r="152" spans="1:8" ht="15.95" customHeight="1">
      <c r="A152" s="9"/>
      <c r="B152" s="9"/>
      <c r="C152" s="13"/>
      <c r="D152" s="14"/>
      <c r="E152" s="14"/>
      <c r="F152" s="14"/>
      <c r="G152" s="14"/>
      <c r="H152" s="8"/>
    </row>
    <row r="153" spans="1:8" ht="15.95" customHeight="1">
      <c r="A153" s="9"/>
      <c r="B153" s="9"/>
      <c r="C153" s="13"/>
      <c r="D153" s="14"/>
      <c r="E153" s="14"/>
      <c r="F153" s="14"/>
      <c r="G153" s="14"/>
      <c r="H153" s="8"/>
    </row>
    <row r="154" spans="1:8" ht="15.95" customHeight="1">
      <c r="A154" s="9"/>
      <c r="B154" s="9"/>
      <c r="C154" s="13"/>
      <c r="D154" s="14"/>
      <c r="E154" s="14"/>
      <c r="F154" s="14"/>
      <c r="G154" s="14"/>
      <c r="H154" s="8">
        <v>6</v>
      </c>
    </row>
    <row r="155" spans="1:8" ht="15.95" customHeight="1">
      <c r="A155" s="9"/>
      <c r="B155" s="9"/>
      <c r="C155" s="13"/>
      <c r="D155" s="14"/>
      <c r="E155" s="14"/>
      <c r="F155" s="14"/>
      <c r="G155" s="14"/>
      <c r="H155" s="8"/>
    </row>
    <row r="156" spans="1:8" ht="39.950000000000003" customHeight="1">
      <c r="A156" s="60" t="s">
        <v>84</v>
      </c>
      <c r="B156" s="61"/>
      <c r="C156" s="61"/>
      <c r="D156" s="61"/>
      <c r="E156" s="61"/>
      <c r="F156" s="61"/>
      <c r="G156" s="61"/>
      <c r="H156" s="62"/>
    </row>
    <row r="157" spans="1:8" ht="15.95" customHeight="1">
      <c r="A157" s="44" t="s">
        <v>38</v>
      </c>
      <c r="B157" s="45" t="s">
        <v>48</v>
      </c>
      <c r="C157" s="46" t="s">
        <v>39</v>
      </c>
      <c r="D157" s="53" t="s">
        <v>40</v>
      </c>
      <c r="E157" s="54"/>
      <c r="F157" s="55"/>
      <c r="G157" s="56" t="s">
        <v>41</v>
      </c>
      <c r="H157" s="58" t="s">
        <v>42</v>
      </c>
    </row>
    <row r="158" spans="1:8" ht="30" customHeight="1">
      <c r="A158" s="44"/>
      <c r="B158" s="45"/>
      <c r="C158" s="47"/>
      <c r="D158" s="17" t="s">
        <v>43</v>
      </c>
      <c r="E158" s="17" t="s">
        <v>44</v>
      </c>
      <c r="F158" s="18" t="s">
        <v>49</v>
      </c>
      <c r="G158" s="57"/>
      <c r="H158" s="59"/>
    </row>
    <row r="159" spans="1:8" ht="15.95" customHeight="1">
      <c r="A159" s="40" t="s">
        <v>0</v>
      </c>
      <c r="B159" s="5" t="s">
        <v>28</v>
      </c>
      <c r="C159" s="15">
        <v>200</v>
      </c>
      <c r="D159" s="7">
        <f>12.141*200/150</f>
        <v>16.187999999999999</v>
      </c>
      <c r="E159" s="7">
        <f>13.632*200/150</f>
        <v>18.176000000000002</v>
      </c>
      <c r="F159" s="7">
        <f>23.924*200/150</f>
        <v>31.898666666666667</v>
      </c>
      <c r="G159" s="7">
        <f>270.55*200/150</f>
        <v>360.73333333333335</v>
      </c>
      <c r="H159" s="1" t="s">
        <v>85</v>
      </c>
    </row>
    <row r="160" spans="1:8" ht="15.95" customHeight="1">
      <c r="A160" s="41"/>
      <c r="B160" s="5" t="s">
        <v>105</v>
      </c>
      <c r="C160" s="15">
        <v>20</v>
      </c>
      <c r="D160" s="7">
        <v>2.0500000000000001E-2</v>
      </c>
      <c r="E160" s="7">
        <v>0</v>
      </c>
      <c r="F160" s="7">
        <v>8.2357999999999993</v>
      </c>
      <c r="G160" s="7">
        <v>31.439</v>
      </c>
      <c r="H160" s="1" t="s">
        <v>135</v>
      </c>
    </row>
    <row r="161" spans="1:8" ht="15.95" customHeight="1">
      <c r="A161" s="41"/>
      <c r="B161" s="5" t="s">
        <v>2</v>
      </c>
      <c r="C161" s="15">
        <v>100</v>
      </c>
      <c r="D161" s="7">
        <v>1</v>
      </c>
      <c r="E161" s="7">
        <v>0.4</v>
      </c>
      <c r="F161" s="7">
        <v>15.4</v>
      </c>
      <c r="G161" s="7">
        <v>71.5</v>
      </c>
      <c r="H161" s="1" t="s">
        <v>53</v>
      </c>
    </row>
    <row r="162" spans="1:8" ht="15.95" customHeight="1">
      <c r="A162" s="41"/>
      <c r="B162" s="5" t="s">
        <v>25</v>
      </c>
      <c r="C162" s="15">
        <v>55</v>
      </c>
      <c r="D162" s="7">
        <v>5.1944444444444446</v>
      </c>
      <c r="E162" s="7">
        <v>11.464444444444446</v>
      </c>
      <c r="F162" s="7">
        <v>20.228999999999999</v>
      </c>
      <c r="G162" s="7">
        <v>145.07777777777778</v>
      </c>
      <c r="H162" s="1" t="s">
        <v>86</v>
      </c>
    </row>
    <row r="163" spans="1:8" ht="15.95" customHeight="1">
      <c r="A163" s="41"/>
      <c r="B163" s="5" t="s">
        <v>17</v>
      </c>
      <c r="C163" s="15">
        <v>200</v>
      </c>
      <c r="D163" s="7">
        <v>6.9999999999999999E-4</v>
      </c>
      <c r="E163" s="7">
        <v>0</v>
      </c>
      <c r="F163" s="7">
        <v>7.0350000000000001</v>
      </c>
      <c r="G163" s="7">
        <v>28.126000000000001</v>
      </c>
      <c r="H163" s="1" t="s">
        <v>68</v>
      </c>
    </row>
    <row r="164" spans="1:8" s="20" customFormat="1" ht="15.95" customHeight="1">
      <c r="A164" s="42" t="s">
        <v>45</v>
      </c>
      <c r="B164" s="43"/>
      <c r="C164" s="3">
        <f>SUM(C159:C163)</f>
        <v>575</v>
      </c>
      <c r="D164" s="4">
        <f>SUM(D159:D163)</f>
        <v>22.403644444444442</v>
      </c>
      <c r="E164" s="4">
        <f>SUM(E159:E163)</f>
        <v>30.040444444444447</v>
      </c>
      <c r="F164" s="4">
        <f>SUM(F159:F163)</f>
        <v>82.798466666666656</v>
      </c>
      <c r="G164" s="4">
        <f>SUM(G159:G163)</f>
        <v>636.87611111111119</v>
      </c>
      <c r="H164" s="6"/>
    </row>
    <row r="165" spans="1:8" ht="32.1" customHeight="1">
      <c r="A165" s="40" t="s">
        <v>3</v>
      </c>
      <c r="B165" s="5" t="s">
        <v>142</v>
      </c>
      <c r="C165" s="15">
        <v>100</v>
      </c>
      <c r="D165" s="7">
        <f>0.6376*100/60</f>
        <v>1.0626666666666664</v>
      </c>
      <c r="E165" s="7">
        <f>2.0588*100/60</f>
        <v>3.4313333333333338</v>
      </c>
      <c r="F165" s="7">
        <f>6.4779*100/60</f>
        <v>10.7965</v>
      </c>
      <c r="G165" s="7">
        <f>48.668*100/60</f>
        <v>81.11333333333333</v>
      </c>
      <c r="H165" s="1" t="s">
        <v>75</v>
      </c>
    </row>
    <row r="166" spans="1:8" ht="15.95" customHeight="1">
      <c r="A166" s="41"/>
      <c r="B166" s="5" t="s">
        <v>29</v>
      </c>
      <c r="C166" s="15">
        <v>250</v>
      </c>
      <c r="D166" s="7">
        <f>5.0845*250/200</f>
        <v>6.3556249999999999</v>
      </c>
      <c r="E166" s="7">
        <f>6.5779*250/200</f>
        <v>8.2223749999999995</v>
      </c>
      <c r="F166" s="7">
        <f>15.2215*250/200</f>
        <v>19.026875</v>
      </c>
      <c r="G166" s="7">
        <f>133.452*250/200</f>
        <v>166.815</v>
      </c>
      <c r="H166" s="1" t="s">
        <v>87</v>
      </c>
    </row>
    <row r="167" spans="1:8" ht="15.95" customHeight="1">
      <c r="A167" s="41"/>
      <c r="B167" s="5" t="s">
        <v>22</v>
      </c>
      <c r="C167" s="15">
        <v>100</v>
      </c>
      <c r="D167" s="7">
        <f>10.468*100/90</f>
        <v>11.63111111111111</v>
      </c>
      <c r="E167" s="7">
        <f>6.2096*100/90</f>
        <v>6.8995555555555557</v>
      </c>
      <c r="F167" s="7">
        <f>10.6741*100/90</f>
        <v>11.860111111111109</v>
      </c>
      <c r="G167" s="7">
        <f>191.644*100/90</f>
        <v>212.9377777777778</v>
      </c>
      <c r="H167" s="1" t="s">
        <v>77</v>
      </c>
    </row>
    <row r="168" spans="1:8" ht="15.95" customHeight="1">
      <c r="A168" s="41"/>
      <c r="B168" s="5" t="s">
        <v>30</v>
      </c>
      <c r="C168" s="15">
        <v>180</v>
      </c>
      <c r="D168" s="7">
        <f>4.025*180/150</f>
        <v>4.830000000000001</v>
      </c>
      <c r="E168" s="7">
        <f>5.925*180/150</f>
        <v>7.11</v>
      </c>
      <c r="F168" s="7">
        <f>29.64*180/150</f>
        <v>35.567999999999998</v>
      </c>
      <c r="G168" s="7">
        <f>183.4*180/150</f>
        <v>220.08</v>
      </c>
      <c r="H168" s="1" t="s">
        <v>88</v>
      </c>
    </row>
    <row r="169" spans="1:8" ht="15.95" customHeight="1">
      <c r="A169" s="41"/>
      <c r="B169" s="5" t="s">
        <v>24</v>
      </c>
      <c r="C169" s="15">
        <v>200</v>
      </c>
      <c r="D169" s="7">
        <v>0.108</v>
      </c>
      <c r="E169" s="7">
        <v>0.108</v>
      </c>
      <c r="F169" s="7">
        <v>11.628</v>
      </c>
      <c r="G169" s="7">
        <v>47.898000000000003</v>
      </c>
      <c r="H169" s="1" t="s">
        <v>79</v>
      </c>
    </row>
    <row r="170" spans="1:8" ht="15.95" customHeight="1">
      <c r="A170" s="41"/>
      <c r="B170" s="5" t="s">
        <v>4</v>
      </c>
      <c r="C170" s="15">
        <v>70</v>
      </c>
      <c r="D170" s="7">
        <f>3.735*70/48</f>
        <v>5.4468749999999995</v>
      </c>
      <c r="E170" s="7">
        <f>0.675*70/48</f>
        <v>0.984375</v>
      </c>
      <c r="F170" s="7">
        <f>21.645*70/48</f>
        <v>31.565624999999997</v>
      </c>
      <c r="G170" s="7">
        <f>116.55*70/48</f>
        <v>169.96875</v>
      </c>
      <c r="H170" s="1" t="s">
        <v>58</v>
      </c>
    </row>
    <row r="171" spans="1:8" ht="15.95" customHeight="1">
      <c r="A171" s="41"/>
      <c r="B171" s="5" t="s">
        <v>1</v>
      </c>
      <c r="C171" s="15">
        <v>65</v>
      </c>
      <c r="D171" s="7">
        <f>3.8*65/50</f>
        <v>4.9400000000000004</v>
      </c>
      <c r="E171" s="7">
        <f>0.45*65/50</f>
        <v>0.58499999999999996</v>
      </c>
      <c r="F171" s="7">
        <f>24.75*65/50</f>
        <v>32.174999999999997</v>
      </c>
      <c r="G171" s="7">
        <f>135*65/50</f>
        <v>175.5</v>
      </c>
      <c r="H171" s="1" t="s">
        <v>59</v>
      </c>
    </row>
    <row r="172" spans="1:8" s="20" customFormat="1" ht="15.95" customHeight="1">
      <c r="A172" s="42" t="s">
        <v>46</v>
      </c>
      <c r="B172" s="43"/>
      <c r="C172" s="3">
        <f>SUM(C165:C171)</f>
        <v>965</v>
      </c>
      <c r="D172" s="4">
        <f>SUM(D165:D171)</f>
        <v>34.374277777777777</v>
      </c>
      <c r="E172" s="4">
        <f>SUM(E165:E171)</f>
        <v>27.34063888888889</v>
      </c>
      <c r="F172" s="4">
        <f>SUM(F165:F171)</f>
        <v>152.6201111111111</v>
      </c>
      <c r="G172" s="4">
        <f>SUM(G165:G171)</f>
        <v>1074.312861111111</v>
      </c>
      <c r="H172" s="6"/>
    </row>
    <row r="173" spans="1:8" s="20" customFormat="1" ht="15.95" customHeight="1">
      <c r="A173" s="51" t="s">
        <v>136</v>
      </c>
      <c r="B173" s="5" t="s">
        <v>9</v>
      </c>
      <c r="C173" s="35">
        <v>3</v>
      </c>
      <c r="D173" s="19">
        <v>0</v>
      </c>
      <c r="E173" s="19">
        <v>0</v>
      </c>
      <c r="F173" s="19">
        <v>0</v>
      </c>
      <c r="G173" s="19">
        <v>0</v>
      </c>
      <c r="H173" s="6"/>
    </row>
    <row r="174" spans="1:8" s="20" customFormat="1" ht="15.95" customHeight="1">
      <c r="A174" s="52"/>
      <c r="B174" s="5" t="s">
        <v>137</v>
      </c>
      <c r="C174" s="36">
        <v>7.0000000000000007E-2</v>
      </c>
      <c r="D174" s="19">
        <v>5.9999999999999995E-5</v>
      </c>
      <c r="E174" s="19">
        <v>5.9999999999999995E-5</v>
      </c>
      <c r="F174" s="19">
        <f>0.057468*0.07/0.06</f>
        <v>6.7046000000000008E-2</v>
      </c>
      <c r="G174" s="19">
        <f>0.139038*0.07/0.06</f>
        <v>0.16221100000000002</v>
      </c>
      <c r="H174" s="6"/>
    </row>
    <row r="175" spans="1:8" ht="15.95" customHeight="1">
      <c r="A175" s="48" t="s">
        <v>129</v>
      </c>
      <c r="B175" s="49"/>
      <c r="C175" s="50"/>
      <c r="D175" s="4">
        <f>D164+D172+D173+D174</f>
        <v>56.777982222222214</v>
      </c>
      <c r="E175" s="4">
        <f>E164+E172+E173+E174</f>
        <v>57.381143333333334</v>
      </c>
      <c r="F175" s="4">
        <f>F164+F172+F173+F174</f>
        <v>235.48562377777776</v>
      </c>
      <c r="G175" s="4">
        <f>G164+G172+G173+G174</f>
        <v>1711.3511832222223</v>
      </c>
      <c r="H175" s="1"/>
    </row>
    <row r="176" spans="1:8" ht="15.95" customHeight="1">
      <c r="A176" s="9"/>
      <c r="B176" s="9"/>
      <c r="C176" s="13"/>
      <c r="D176" s="14"/>
      <c r="E176" s="14"/>
      <c r="F176" s="14"/>
      <c r="G176" s="14"/>
      <c r="H176" s="8"/>
    </row>
    <row r="177" spans="1:8" ht="15.95" customHeight="1">
      <c r="A177" s="9"/>
      <c r="B177" s="9"/>
      <c r="C177" s="13"/>
      <c r="D177" s="14"/>
      <c r="E177" s="14"/>
      <c r="F177" s="14"/>
      <c r="G177" s="14"/>
      <c r="H177" s="8"/>
    </row>
    <row r="178" spans="1:8" ht="15.95" customHeight="1">
      <c r="A178" s="9"/>
      <c r="B178" s="9"/>
      <c r="C178" s="13"/>
      <c r="D178" s="14"/>
      <c r="E178" s="14"/>
      <c r="F178" s="14"/>
      <c r="G178" s="14"/>
      <c r="H178" s="8"/>
    </row>
    <row r="179" spans="1:8" ht="15.95" customHeight="1">
      <c r="A179" s="9"/>
      <c r="B179" s="9"/>
      <c r="C179" s="13"/>
      <c r="D179" s="14"/>
      <c r="E179" s="14"/>
      <c r="F179" s="14"/>
      <c r="G179" s="14"/>
      <c r="H179" s="8"/>
    </row>
    <row r="180" spans="1:8" ht="15.95" customHeight="1">
      <c r="A180" s="9"/>
      <c r="B180" s="9"/>
      <c r="C180" s="13"/>
      <c r="D180" s="14"/>
      <c r="E180" s="14"/>
      <c r="F180" s="14"/>
      <c r="G180" s="14"/>
      <c r="H180" s="8"/>
    </row>
    <row r="181" spans="1:8" ht="15.95" customHeight="1">
      <c r="A181" s="9"/>
      <c r="B181" s="9"/>
      <c r="C181" s="13"/>
      <c r="D181" s="14"/>
      <c r="E181" s="14"/>
      <c r="F181" s="14"/>
      <c r="G181" s="14"/>
      <c r="H181" s="8"/>
    </row>
    <row r="182" spans="1:8" ht="15.95" customHeight="1">
      <c r="A182" s="9"/>
      <c r="B182" s="9"/>
      <c r="C182" s="13"/>
      <c r="D182" s="14"/>
      <c r="E182" s="14"/>
      <c r="F182" s="14"/>
      <c r="G182" s="14"/>
      <c r="H182" s="8"/>
    </row>
    <row r="183" spans="1:8" ht="15.95" customHeight="1">
      <c r="A183" s="9"/>
      <c r="B183" s="9"/>
      <c r="C183" s="13"/>
      <c r="D183" s="14"/>
      <c r="E183" s="14"/>
      <c r="F183" s="14"/>
      <c r="G183" s="14"/>
      <c r="H183" s="8"/>
    </row>
    <row r="184" spans="1:8" ht="15.95" customHeight="1">
      <c r="A184" s="9"/>
      <c r="B184" s="9"/>
      <c r="C184" s="13"/>
      <c r="D184" s="14"/>
      <c r="E184" s="14"/>
      <c r="F184" s="14"/>
      <c r="G184" s="14"/>
      <c r="H184" s="8"/>
    </row>
    <row r="185" spans="1:8" ht="15.95" customHeight="1">
      <c r="A185" s="9"/>
      <c r="B185" s="9"/>
      <c r="C185" s="13"/>
      <c r="D185" s="14"/>
      <c r="E185" s="14"/>
      <c r="F185" s="14"/>
      <c r="G185" s="14"/>
      <c r="H185" s="8">
        <v>7</v>
      </c>
    </row>
    <row r="186" spans="1:8" ht="15.95" customHeight="1">
      <c r="A186" s="9"/>
      <c r="B186" s="9"/>
      <c r="C186" s="13"/>
      <c r="D186" s="14"/>
      <c r="E186" s="14"/>
      <c r="F186" s="14"/>
      <c r="G186" s="14"/>
      <c r="H186" s="8"/>
    </row>
    <row r="187" spans="1:8" ht="39.950000000000003" customHeight="1">
      <c r="A187" s="60" t="s">
        <v>89</v>
      </c>
      <c r="B187" s="61"/>
      <c r="C187" s="61"/>
      <c r="D187" s="61"/>
      <c r="E187" s="61"/>
      <c r="F187" s="61"/>
      <c r="G187" s="61"/>
      <c r="H187" s="62"/>
    </row>
    <row r="188" spans="1:8" ht="15.95" customHeight="1">
      <c r="A188" s="44" t="s">
        <v>38</v>
      </c>
      <c r="B188" s="45" t="s">
        <v>48</v>
      </c>
      <c r="C188" s="46" t="s">
        <v>39</v>
      </c>
      <c r="D188" s="53" t="s">
        <v>40</v>
      </c>
      <c r="E188" s="54"/>
      <c r="F188" s="55"/>
      <c r="G188" s="56" t="s">
        <v>41</v>
      </c>
      <c r="H188" s="58" t="s">
        <v>42</v>
      </c>
    </row>
    <row r="189" spans="1:8" ht="30" customHeight="1">
      <c r="A189" s="44"/>
      <c r="B189" s="45"/>
      <c r="C189" s="47"/>
      <c r="D189" s="17" t="s">
        <v>43</v>
      </c>
      <c r="E189" s="17" t="s">
        <v>44</v>
      </c>
      <c r="F189" s="18" t="s">
        <v>49</v>
      </c>
      <c r="G189" s="57"/>
      <c r="H189" s="59"/>
    </row>
    <row r="190" spans="1:8" ht="15.95" customHeight="1">
      <c r="A190" s="40" t="s">
        <v>0</v>
      </c>
      <c r="B190" s="5" t="s">
        <v>12</v>
      </c>
      <c r="C190" s="15">
        <v>180</v>
      </c>
      <c r="D190" s="7">
        <f>11.006*180/150</f>
        <v>13.2072</v>
      </c>
      <c r="E190" s="7">
        <f>12.167*180/150</f>
        <v>14.6004</v>
      </c>
      <c r="F190" s="7">
        <f>10.03*180/150</f>
        <v>12.036</v>
      </c>
      <c r="G190" s="7">
        <f>194.95*180/150</f>
        <v>233.94</v>
      </c>
      <c r="H190" s="1" t="s">
        <v>61</v>
      </c>
    </row>
    <row r="191" spans="1:8" ht="15.95" customHeight="1">
      <c r="A191" s="41"/>
      <c r="B191" s="5" t="s">
        <v>134</v>
      </c>
      <c r="C191" s="15">
        <v>30</v>
      </c>
      <c r="D191" s="7">
        <v>0.77</v>
      </c>
      <c r="E191" s="7">
        <v>0.105</v>
      </c>
      <c r="F191" s="7">
        <v>2.9750000000000001</v>
      </c>
      <c r="G191" s="7">
        <v>13.3</v>
      </c>
      <c r="H191" s="1" t="s">
        <v>54</v>
      </c>
    </row>
    <row r="192" spans="1:8" ht="15.95" customHeight="1">
      <c r="A192" s="41"/>
      <c r="B192" s="5" t="s">
        <v>7</v>
      </c>
      <c r="C192" s="15">
        <v>45</v>
      </c>
      <c r="D192" s="7">
        <f>4.58*45/40</f>
        <v>5.1524999999999999</v>
      </c>
      <c r="E192" s="7">
        <f>4.17*45/40</f>
        <v>4.6912500000000001</v>
      </c>
      <c r="F192" s="7">
        <f>13.85*45/40</f>
        <v>15.581250000000001</v>
      </c>
      <c r="G192" s="7">
        <f>117.4*45/40</f>
        <v>132.07499999999999</v>
      </c>
      <c r="H192" s="1" t="s">
        <v>51</v>
      </c>
    </row>
    <row r="193" spans="1:8" ht="15.95" customHeight="1">
      <c r="A193" s="41"/>
      <c r="B193" s="5" t="s">
        <v>20</v>
      </c>
      <c r="C193" s="15">
        <v>200</v>
      </c>
      <c r="D193" s="7">
        <v>2.0960000000000001</v>
      </c>
      <c r="E193" s="7">
        <v>4.18</v>
      </c>
      <c r="F193" s="7">
        <v>11.42</v>
      </c>
      <c r="G193" s="7">
        <v>87.71</v>
      </c>
      <c r="H193" s="1" t="s">
        <v>74</v>
      </c>
    </row>
    <row r="194" spans="1:8" ht="15.95" customHeight="1">
      <c r="A194" s="41"/>
      <c r="B194" s="5" t="s">
        <v>2</v>
      </c>
      <c r="C194" s="15">
        <v>100</v>
      </c>
      <c r="D194" s="19">
        <v>1</v>
      </c>
      <c r="E194" s="19">
        <v>0.4</v>
      </c>
      <c r="F194" s="19">
        <v>15.4</v>
      </c>
      <c r="G194" s="23">
        <v>71.5</v>
      </c>
      <c r="H194" s="1" t="s">
        <v>53</v>
      </c>
    </row>
    <row r="195" spans="1:8" s="20" customFormat="1" ht="15.95" customHeight="1">
      <c r="A195" s="42" t="s">
        <v>45</v>
      </c>
      <c r="B195" s="43"/>
      <c r="C195" s="3">
        <f>SUM(C190:C194)</f>
        <v>555</v>
      </c>
      <c r="D195" s="4">
        <f>SUM(D190:D194)</f>
        <v>22.2257</v>
      </c>
      <c r="E195" s="4">
        <f>SUM(E190:E194)</f>
        <v>23.976649999999999</v>
      </c>
      <c r="F195" s="4">
        <f>SUM(F190:F194)</f>
        <v>57.41225</v>
      </c>
      <c r="G195" s="4">
        <f>SUM(G190:G194)</f>
        <v>538.52499999999998</v>
      </c>
      <c r="H195" s="2"/>
    </row>
    <row r="196" spans="1:8" ht="32.1" customHeight="1">
      <c r="A196" s="40" t="s">
        <v>3</v>
      </c>
      <c r="B196" s="5" t="s">
        <v>143</v>
      </c>
      <c r="C196" s="15">
        <v>100</v>
      </c>
      <c r="D196" s="7">
        <f>0.825*100/60</f>
        <v>1.375</v>
      </c>
      <c r="E196" s="7">
        <f>2.055*100/60</f>
        <v>3.4250000000000003</v>
      </c>
      <c r="F196" s="7">
        <f>6.6*100/60</f>
        <v>11</v>
      </c>
      <c r="G196" s="7">
        <f>49.48*100/60</f>
        <v>82.466666666666669</v>
      </c>
      <c r="H196" s="1" t="s">
        <v>90</v>
      </c>
    </row>
    <row r="197" spans="1:8" ht="15.95" customHeight="1">
      <c r="A197" s="41"/>
      <c r="B197" s="5" t="s">
        <v>21</v>
      </c>
      <c r="C197" s="15">
        <v>250</v>
      </c>
      <c r="D197" s="7">
        <f>6.724*250/200</f>
        <v>8.4049999999999994</v>
      </c>
      <c r="E197" s="7">
        <f>3.6228*250/200</f>
        <v>4.5284999999999993</v>
      </c>
      <c r="F197" s="7">
        <f>18.22*250/200</f>
        <v>22.774999999999999</v>
      </c>
      <c r="G197" s="7">
        <f>152.939*250/200</f>
        <v>191.17375000000001</v>
      </c>
      <c r="H197" s="1" t="s">
        <v>76</v>
      </c>
    </row>
    <row r="198" spans="1:8" ht="15.95" customHeight="1">
      <c r="A198" s="41"/>
      <c r="B198" s="5" t="s">
        <v>31</v>
      </c>
      <c r="C198" s="15">
        <v>100</v>
      </c>
      <c r="D198" s="7">
        <f>11.766*100/90</f>
        <v>13.073333333333332</v>
      </c>
      <c r="E198" s="7">
        <f>15.52*100/90</f>
        <v>17.244444444444444</v>
      </c>
      <c r="F198" s="7">
        <f>29.151*100/90</f>
        <v>32.39</v>
      </c>
      <c r="G198" s="7">
        <f>265.47*100/90</f>
        <v>294.9666666666667</v>
      </c>
      <c r="H198" s="1" t="s">
        <v>91</v>
      </c>
    </row>
    <row r="199" spans="1:8" ht="15.95" customHeight="1">
      <c r="A199" s="41"/>
      <c r="B199" s="5" t="s">
        <v>23</v>
      </c>
      <c r="C199" s="15">
        <v>180</v>
      </c>
      <c r="D199" s="7">
        <f>2.965*180/150</f>
        <v>3.5579999999999994</v>
      </c>
      <c r="E199" s="7">
        <f>4.845*150/180</f>
        <v>4.0374999999999996</v>
      </c>
      <c r="F199" s="7">
        <f>34.82*180/150</f>
        <v>41.783999999999999</v>
      </c>
      <c r="G199" s="7">
        <f>177.25*180/150</f>
        <v>212.7</v>
      </c>
      <c r="H199" s="1" t="s">
        <v>78</v>
      </c>
    </row>
    <row r="200" spans="1:8" ht="15.95" customHeight="1">
      <c r="A200" s="41"/>
      <c r="B200" s="5" t="s">
        <v>16</v>
      </c>
      <c r="C200" s="15">
        <v>200</v>
      </c>
      <c r="D200" s="7">
        <v>0</v>
      </c>
      <c r="E200" s="7">
        <v>0</v>
      </c>
      <c r="F200" s="7">
        <v>11.231999999999999</v>
      </c>
      <c r="G200" s="7">
        <v>41.91</v>
      </c>
      <c r="H200" s="1" t="s">
        <v>66</v>
      </c>
    </row>
    <row r="201" spans="1:8" ht="15.95" customHeight="1">
      <c r="A201" s="41"/>
      <c r="B201" s="5" t="s">
        <v>4</v>
      </c>
      <c r="C201" s="15">
        <v>70</v>
      </c>
      <c r="D201" s="7">
        <f>3.735*70/48</f>
        <v>5.4468749999999995</v>
      </c>
      <c r="E201" s="7">
        <f>0.675*70/48</f>
        <v>0.984375</v>
      </c>
      <c r="F201" s="7">
        <f>21.645*70/48</f>
        <v>31.565624999999997</v>
      </c>
      <c r="G201" s="7">
        <f>116.55*70/48</f>
        <v>169.96875</v>
      </c>
      <c r="H201" s="1" t="s">
        <v>58</v>
      </c>
    </row>
    <row r="202" spans="1:8" ht="15.95" customHeight="1">
      <c r="A202" s="41"/>
      <c r="B202" s="5" t="s">
        <v>1</v>
      </c>
      <c r="C202" s="15">
        <v>65</v>
      </c>
      <c r="D202" s="7">
        <f>3.8*65/50</f>
        <v>4.9400000000000004</v>
      </c>
      <c r="E202" s="7">
        <f>0.45*65/50</f>
        <v>0.58499999999999996</v>
      </c>
      <c r="F202" s="7">
        <f>24.75*65/50</f>
        <v>32.174999999999997</v>
      </c>
      <c r="G202" s="7">
        <f>135*65/50</f>
        <v>175.5</v>
      </c>
      <c r="H202" s="1" t="s">
        <v>59</v>
      </c>
    </row>
    <row r="203" spans="1:8" s="20" customFormat="1" ht="15.95" customHeight="1">
      <c r="A203" s="42" t="s">
        <v>46</v>
      </c>
      <c r="B203" s="43"/>
      <c r="C203" s="3">
        <f>SUM(C196:C202)</f>
        <v>965</v>
      </c>
      <c r="D203" s="4">
        <f>SUM(D196:D202)</f>
        <v>36.798208333333328</v>
      </c>
      <c r="E203" s="4">
        <f>SUM(E196:E202)</f>
        <v>30.804819444444448</v>
      </c>
      <c r="F203" s="4">
        <f>SUM(F196:F202)</f>
        <v>182.92162500000001</v>
      </c>
      <c r="G203" s="4">
        <f>SUM(G196:G202)</f>
        <v>1168.6858333333334</v>
      </c>
      <c r="H203" s="6"/>
    </row>
    <row r="204" spans="1:8" s="20" customFormat="1" ht="15.95" customHeight="1">
      <c r="A204" s="51" t="s">
        <v>136</v>
      </c>
      <c r="B204" s="5" t="s">
        <v>9</v>
      </c>
      <c r="C204" s="35">
        <v>3</v>
      </c>
      <c r="D204" s="19">
        <v>0</v>
      </c>
      <c r="E204" s="19">
        <v>0</v>
      </c>
      <c r="F204" s="19">
        <v>0</v>
      </c>
      <c r="G204" s="19">
        <v>0</v>
      </c>
      <c r="H204" s="6"/>
    </row>
    <row r="205" spans="1:8" s="20" customFormat="1" ht="15.95" customHeight="1">
      <c r="A205" s="52"/>
      <c r="B205" s="5" t="s">
        <v>137</v>
      </c>
      <c r="C205" s="36">
        <v>7.0000000000000007E-2</v>
      </c>
      <c r="D205" s="19">
        <v>5.9999999999999995E-5</v>
      </c>
      <c r="E205" s="19">
        <v>5.9999999999999995E-5</v>
      </c>
      <c r="F205" s="19">
        <f>0.057468*0.07/0.06</f>
        <v>6.7046000000000008E-2</v>
      </c>
      <c r="G205" s="19">
        <f>0.139038*0.07/0.06</f>
        <v>0.16221100000000002</v>
      </c>
      <c r="H205" s="6"/>
    </row>
    <row r="206" spans="1:8" ht="15.95" customHeight="1">
      <c r="A206" s="48" t="s">
        <v>130</v>
      </c>
      <c r="B206" s="49"/>
      <c r="C206" s="50"/>
      <c r="D206" s="4">
        <f>D195+D203+D204+D205</f>
        <v>59.023968333333322</v>
      </c>
      <c r="E206" s="4">
        <f>E195+E203+E204+E205</f>
        <v>54.781529444444445</v>
      </c>
      <c r="F206" s="4">
        <f>F195+F203+F204+F205</f>
        <v>240.40092100000001</v>
      </c>
      <c r="G206" s="4">
        <f>G195+G203+G204+G205</f>
        <v>1707.3730443333336</v>
      </c>
      <c r="H206" s="1"/>
    </row>
    <row r="207" spans="1:8" ht="15.95" customHeight="1">
      <c r="A207" s="9"/>
      <c r="B207" s="9"/>
      <c r="C207" s="13"/>
      <c r="D207" s="14"/>
      <c r="E207" s="14"/>
      <c r="F207" s="14"/>
      <c r="G207" s="14"/>
      <c r="H207" s="8"/>
    </row>
    <row r="208" spans="1:8" ht="15.95" customHeight="1">
      <c r="A208" s="9"/>
      <c r="B208" s="9"/>
      <c r="C208" s="13"/>
      <c r="D208" s="14"/>
      <c r="E208" s="14"/>
      <c r="F208" s="14"/>
      <c r="G208" s="14"/>
      <c r="H208" s="8"/>
    </row>
    <row r="209" spans="1:8" ht="15.95" customHeight="1">
      <c r="A209" s="9"/>
      <c r="B209" s="9"/>
      <c r="C209" s="13"/>
      <c r="D209" s="14"/>
      <c r="E209" s="14"/>
      <c r="F209" s="14"/>
      <c r="G209" s="14"/>
      <c r="H209" s="8"/>
    </row>
    <row r="210" spans="1:8" ht="15.95" customHeight="1">
      <c r="A210" s="9"/>
      <c r="B210" s="9"/>
      <c r="C210" s="13"/>
      <c r="D210" s="14"/>
      <c r="E210" s="14"/>
      <c r="F210" s="14"/>
      <c r="G210" s="14"/>
      <c r="H210" s="8"/>
    </row>
    <row r="211" spans="1:8" ht="15.95" customHeight="1">
      <c r="A211" s="9"/>
      <c r="B211" s="9"/>
      <c r="C211" s="13"/>
      <c r="D211" s="14"/>
      <c r="E211" s="14"/>
      <c r="F211" s="14"/>
      <c r="G211" s="14"/>
      <c r="H211" s="8"/>
    </row>
    <row r="212" spans="1:8" ht="15.95" customHeight="1">
      <c r="A212" s="9"/>
      <c r="B212" s="9"/>
      <c r="C212" s="13"/>
      <c r="D212" s="22"/>
      <c r="E212" s="22"/>
      <c r="F212" s="22"/>
      <c r="G212" s="22"/>
      <c r="H212" s="8"/>
    </row>
    <row r="213" spans="1:8" ht="15.95" customHeight="1">
      <c r="A213" s="9"/>
      <c r="B213" s="9"/>
      <c r="C213" s="13"/>
      <c r="D213" s="14"/>
      <c r="E213" s="14"/>
      <c r="F213" s="14"/>
      <c r="G213" s="14"/>
      <c r="H213" s="8"/>
    </row>
    <row r="214" spans="1:8" ht="15.95" customHeight="1">
      <c r="A214" s="9"/>
      <c r="B214" s="9"/>
      <c r="C214" s="13"/>
      <c r="D214" s="14"/>
      <c r="E214" s="14"/>
      <c r="F214" s="14"/>
      <c r="G214" s="14"/>
      <c r="H214" s="8"/>
    </row>
    <row r="215" spans="1:8" ht="15.95" customHeight="1">
      <c r="A215" s="9"/>
      <c r="B215" s="9"/>
      <c r="C215" s="13"/>
      <c r="D215" s="14"/>
      <c r="E215" s="14"/>
      <c r="F215" s="14"/>
      <c r="G215" s="14"/>
      <c r="H215" s="8"/>
    </row>
    <row r="216" spans="1:8" ht="15.95" customHeight="1">
      <c r="A216" s="9"/>
      <c r="B216" s="9"/>
      <c r="C216" s="13"/>
      <c r="D216" s="14"/>
      <c r="E216" s="14"/>
      <c r="F216" s="14"/>
      <c r="G216" s="14"/>
      <c r="H216" s="8">
        <v>8</v>
      </c>
    </row>
    <row r="217" spans="1:8" ht="15.95" customHeight="1">
      <c r="A217" s="9"/>
      <c r="B217" s="9"/>
      <c r="C217" s="13"/>
      <c r="D217" s="14"/>
      <c r="E217" s="14"/>
      <c r="F217" s="14"/>
      <c r="G217" s="14"/>
      <c r="H217" s="8"/>
    </row>
    <row r="218" spans="1:8" ht="39.950000000000003" customHeight="1">
      <c r="A218" s="60" t="s">
        <v>92</v>
      </c>
      <c r="B218" s="61"/>
      <c r="C218" s="61"/>
      <c r="D218" s="61"/>
      <c r="E218" s="61"/>
      <c r="F218" s="61"/>
      <c r="G218" s="61"/>
      <c r="H218" s="62"/>
    </row>
    <row r="219" spans="1:8" ht="15.95" customHeight="1">
      <c r="A219" s="44" t="s">
        <v>38</v>
      </c>
      <c r="B219" s="45" t="s">
        <v>48</v>
      </c>
      <c r="C219" s="46" t="s">
        <v>39</v>
      </c>
      <c r="D219" s="63" t="s">
        <v>40</v>
      </c>
      <c r="E219" s="64"/>
      <c r="F219" s="65"/>
      <c r="G219" s="66" t="s">
        <v>41</v>
      </c>
      <c r="H219" s="58" t="s">
        <v>42</v>
      </c>
    </row>
    <row r="220" spans="1:8" ht="30" customHeight="1">
      <c r="A220" s="44"/>
      <c r="B220" s="45"/>
      <c r="C220" s="47"/>
      <c r="D220" s="27" t="s">
        <v>43</v>
      </c>
      <c r="E220" s="27" t="s">
        <v>44</v>
      </c>
      <c r="F220" s="28" t="s">
        <v>49</v>
      </c>
      <c r="G220" s="67"/>
      <c r="H220" s="59"/>
    </row>
    <row r="221" spans="1:8" ht="15.95" customHeight="1">
      <c r="A221" s="40" t="s">
        <v>0</v>
      </c>
      <c r="B221" s="5" t="s">
        <v>106</v>
      </c>
      <c r="C221" s="15">
        <v>250</v>
      </c>
      <c r="D221" s="7">
        <f>5.95*250/200</f>
        <v>7.4375</v>
      </c>
      <c r="E221" s="7">
        <f>6.148*250/200</f>
        <v>7.6849999999999996</v>
      </c>
      <c r="F221" s="7">
        <f>23.481*250/200</f>
        <v>29.35125</v>
      </c>
      <c r="G221" s="7">
        <f>150.66*250/200</f>
        <v>188.32499999999999</v>
      </c>
      <c r="H221" s="1" t="s">
        <v>119</v>
      </c>
    </row>
    <row r="222" spans="1:8" ht="15.95" customHeight="1">
      <c r="A222" s="41"/>
      <c r="B222" s="5" t="s">
        <v>13</v>
      </c>
      <c r="C222" s="15">
        <v>45</v>
      </c>
      <c r="D222" s="7">
        <f>2.22857142857143*45/40</f>
        <v>2.5071428571428589</v>
      </c>
      <c r="E222" s="7">
        <f>7.4*45/40</f>
        <v>8.3249999999999993</v>
      </c>
      <c r="F222" s="7">
        <f>15.66*45/40</f>
        <v>17.6175</v>
      </c>
      <c r="G222" s="7">
        <f>96.3428571428571*45/40</f>
        <v>108.38571428571424</v>
      </c>
      <c r="H222" s="1" t="s">
        <v>62</v>
      </c>
    </row>
    <row r="223" spans="1:8" ht="15.95" customHeight="1">
      <c r="A223" s="41"/>
      <c r="B223" s="5" t="s">
        <v>2</v>
      </c>
      <c r="C223" s="15">
        <v>100</v>
      </c>
      <c r="D223" s="7">
        <v>1</v>
      </c>
      <c r="E223" s="7">
        <v>0.4</v>
      </c>
      <c r="F223" s="7">
        <v>15.4</v>
      </c>
      <c r="G223" s="7">
        <v>71.5</v>
      </c>
      <c r="H223" s="1" t="s">
        <v>53</v>
      </c>
    </row>
    <row r="224" spans="1:8" ht="15.95" customHeight="1">
      <c r="A224" s="41"/>
      <c r="B224" s="5" t="s">
        <v>8</v>
      </c>
      <c r="C224" s="15">
        <v>200</v>
      </c>
      <c r="D224" s="7">
        <v>1.6105</v>
      </c>
      <c r="E224" s="7">
        <v>3.58</v>
      </c>
      <c r="F224" s="7">
        <v>11.250999999999999</v>
      </c>
      <c r="G224" s="7">
        <v>82.07</v>
      </c>
      <c r="H224" s="1" t="s">
        <v>52</v>
      </c>
    </row>
    <row r="225" spans="1:8" s="20" customFormat="1" ht="15.95" customHeight="1">
      <c r="A225" s="42" t="s">
        <v>45</v>
      </c>
      <c r="B225" s="43"/>
      <c r="C225" s="3">
        <f>SUM(C221:C224)</f>
        <v>595</v>
      </c>
      <c r="D225" s="4">
        <f>SUM(D221:D224)</f>
        <v>12.55514285714286</v>
      </c>
      <c r="E225" s="4">
        <f>SUM(E221:E224)</f>
        <v>19.989999999999995</v>
      </c>
      <c r="F225" s="4">
        <f>SUM(F221:F224)</f>
        <v>73.619749999999996</v>
      </c>
      <c r="G225" s="4">
        <f>SUM(G221:G224)</f>
        <v>450.28071428571423</v>
      </c>
      <c r="H225" s="6"/>
    </row>
    <row r="226" spans="1:8" ht="32.1" customHeight="1">
      <c r="A226" s="40" t="s">
        <v>3</v>
      </c>
      <c r="B226" s="5" t="s">
        <v>144</v>
      </c>
      <c r="C226" s="15">
        <v>100</v>
      </c>
      <c r="D226" s="7">
        <f>1.43*100/60</f>
        <v>2.3833333333333333</v>
      </c>
      <c r="E226" s="7">
        <f>0.195*100/60</f>
        <v>0.32500000000000001</v>
      </c>
      <c r="F226" s="7">
        <f>5.525*100/60</f>
        <v>9.2083333333333339</v>
      </c>
      <c r="G226" s="7">
        <f>24.7*100/60</f>
        <v>41.166666666666664</v>
      </c>
      <c r="H226" s="1" t="s">
        <v>54</v>
      </c>
    </row>
    <row r="227" spans="1:8" ht="15.95" customHeight="1">
      <c r="A227" s="41"/>
      <c r="B227" s="5" t="s">
        <v>18</v>
      </c>
      <c r="C227" s="15">
        <v>250</v>
      </c>
      <c r="D227" s="7">
        <f>7.1915*250/200</f>
        <v>8.9893750000000008</v>
      </c>
      <c r="E227" s="7">
        <f>6.6045*250/200</f>
        <v>8.2556250000000002</v>
      </c>
      <c r="F227" s="7">
        <f>20.536*250/200</f>
        <v>25.67</v>
      </c>
      <c r="G227" s="7">
        <f>171.035*250/200</f>
        <v>213.79374999999999</v>
      </c>
      <c r="H227" s="1" t="s">
        <v>69</v>
      </c>
    </row>
    <row r="228" spans="1:8" ht="15.95" customHeight="1">
      <c r="A228" s="41"/>
      <c r="B228" s="5" t="s">
        <v>26</v>
      </c>
      <c r="C228" s="15">
        <v>100</v>
      </c>
      <c r="D228" s="7">
        <f>14.1965*100/90</f>
        <v>15.773888888888889</v>
      </c>
      <c r="E228" s="7">
        <f>13.5701*100/90</f>
        <v>15.077888888888889</v>
      </c>
      <c r="F228" s="7">
        <f>15.4751*100/90</f>
        <v>17.194555555555556</v>
      </c>
      <c r="G228" s="7">
        <f>281.444*100/90</f>
        <v>312.71555555555557</v>
      </c>
      <c r="H228" s="1" t="s">
        <v>120</v>
      </c>
    </row>
    <row r="229" spans="1:8" ht="15.95" customHeight="1">
      <c r="A229" s="41"/>
      <c r="B229" s="5" t="s">
        <v>27</v>
      </c>
      <c r="C229" s="15">
        <v>180</v>
      </c>
      <c r="D229" s="7">
        <f>4.385*180/150</f>
        <v>5.2619999999999996</v>
      </c>
      <c r="E229" s="7">
        <f>7.475*180/150</f>
        <v>8.9700000000000006</v>
      </c>
      <c r="F229" s="7">
        <f>35.81*180/150</f>
        <v>42.972000000000001</v>
      </c>
      <c r="G229" s="7">
        <f>221.86*180/150</f>
        <v>266.23200000000003</v>
      </c>
      <c r="H229" s="1" t="s">
        <v>83</v>
      </c>
    </row>
    <row r="230" spans="1:8" ht="15.95" customHeight="1">
      <c r="A230" s="41"/>
      <c r="B230" s="5" t="s">
        <v>100</v>
      </c>
      <c r="C230" s="15">
        <v>200</v>
      </c>
      <c r="D230" s="7">
        <v>0.9</v>
      </c>
      <c r="E230" s="7">
        <v>0.08</v>
      </c>
      <c r="F230" s="7">
        <v>7.0488</v>
      </c>
      <c r="G230" s="7">
        <v>36.143999999999998</v>
      </c>
      <c r="H230" s="1" t="s">
        <v>111</v>
      </c>
    </row>
    <row r="231" spans="1:8" ht="15.95" customHeight="1">
      <c r="A231" s="41"/>
      <c r="B231" s="5" t="s">
        <v>4</v>
      </c>
      <c r="C231" s="15">
        <v>70</v>
      </c>
      <c r="D231" s="7">
        <f>3.735*70/48</f>
        <v>5.4468749999999995</v>
      </c>
      <c r="E231" s="7">
        <f>0.675*70/48</f>
        <v>0.984375</v>
      </c>
      <c r="F231" s="7">
        <f>21.645*70/48</f>
        <v>31.565624999999997</v>
      </c>
      <c r="G231" s="7">
        <f>116.55*70/48</f>
        <v>169.96875</v>
      </c>
      <c r="H231" s="1" t="s">
        <v>58</v>
      </c>
    </row>
    <row r="232" spans="1:8" ht="15.95" customHeight="1">
      <c r="A232" s="41"/>
      <c r="B232" s="5" t="s">
        <v>1</v>
      </c>
      <c r="C232" s="15">
        <v>65</v>
      </c>
      <c r="D232" s="7">
        <f>3.8*65/50</f>
        <v>4.9400000000000004</v>
      </c>
      <c r="E232" s="7">
        <f>0.45*65/50</f>
        <v>0.58499999999999996</v>
      </c>
      <c r="F232" s="7">
        <f>24.75*65/50</f>
        <v>32.174999999999997</v>
      </c>
      <c r="G232" s="7">
        <f>135*65/50</f>
        <v>175.5</v>
      </c>
      <c r="H232" s="1" t="s">
        <v>59</v>
      </c>
    </row>
    <row r="233" spans="1:8" s="20" customFormat="1" ht="15.95" customHeight="1">
      <c r="A233" s="42" t="s">
        <v>46</v>
      </c>
      <c r="B233" s="43"/>
      <c r="C233" s="3">
        <f>SUM(C226:C232)</f>
        <v>965</v>
      </c>
      <c r="D233" s="4">
        <f>SUM(D226:D232)</f>
        <v>43.695472222222214</v>
      </c>
      <c r="E233" s="4">
        <f>SUM(E226:E232)</f>
        <v>34.277888888888889</v>
      </c>
      <c r="F233" s="4">
        <f>SUM(F226:F232)</f>
        <v>165.83431388888891</v>
      </c>
      <c r="G233" s="4">
        <f>SUM(G226:G232)</f>
        <v>1215.5207222222223</v>
      </c>
      <c r="H233" s="6"/>
    </row>
    <row r="234" spans="1:8" s="20" customFormat="1" ht="15.95" customHeight="1">
      <c r="A234" s="51" t="s">
        <v>136</v>
      </c>
      <c r="B234" s="5" t="s">
        <v>9</v>
      </c>
      <c r="C234" s="35">
        <v>3</v>
      </c>
      <c r="D234" s="19">
        <v>0</v>
      </c>
      <c r="E234" s="19">
        <v>0</v>
      </c>
      <c r="F234" s="19">
        <v>0</v>
      </c>
      <c r="G234" s="19">
        <v>0</v>
      </c>
      <c r="H234" s="6"/>
    </row>
    <row r="235" spans="1:8" s="20" customFormat="1" ht="15.95" customHeight="1">
      <c r="A235" s="52"/>
      <c r="B235" s="5" t="s">
        <v>137</v>
      </c>
      <c r="C235" s="36">
        <v>7.0000000000000007E-2</v>
      </c>
      <c r="D235" s="19">
        <v>5.9999999999999995E-5</v>
      </c>
      <c r="E235" s="19">
        <v>5.9999999999999995E-5</v>
      </c>
      <c r="F235" s="19">
        <f>0.057468*0.07/0.06</f>
        <v>6.7046000000000008E-2</v>
      </c>
      <c r="G235" s="19">
        <f>0.139038*0.07/0.06</f>
        <v>0.16221100000000002</v>
      </c>
      <c r="H235" s="6"/>
    </row>
    <row r="236" spans="1:8" ht="15.95" customHeight="1">
      <c r="A236" s="48" t="s">
        <v>131</v>
      </c>
      <c r="B236" s="49"/>
      <c r="C236" s="50"/>
      <c r="D236" s="4">
        <f>D225+D233+D234+D235</f>
        <v>56.250675079365074</v>
      </c>
      <c r="E236" s="4">
        <f>E225+E233+E234+E235</f>
        <v>54.267948888888881</v>
      </c>
      <c r="F236" s="4">
        <f>F225+F233+F234+F235</f>
        <v>239.52110988888893</v>
      </c>
      <c r="G236" s="4">
        <f>G225+G233+G234+G235</f>
        <v>1665.9636475079367</v>
      </c>
      <c r="H236" s="1"/>
    </row>
    <row r="237" spans="1:8" ht="15.95" customHeight="1">
      <c r="A237" s="9"/>
      <c r="B237" s="9"/>
      <c r="C237" s="13"/>
      <c r="D237" s="14"/>
      <c r="E237" s="14"/>
      <c r="F237" s="14"/>
      <c r="G237" s="14"/>
      <c r="H237" s="8"/>
    </row>
    <row r="238" spans="1:8" ht="15.95" customHeight="1">
      <c r="A238" s="9"/>
      <c r="B238" s="9"/>
      <c r="C238" s="13"/>
      <c r="D238" s="14"/>
      <c r="E238" s="14"/>
      <c r="F238" s="14"/>
      <c r="G238" s="14"/>
      <c r="H238" s="8"/>
    </row>
    <row r="239" spans="1:8" ht="15.95" customHeight="1">
      <c r="A239" s="9"/>
      <c r="B239" s="9"/>
      <c r="C239" s="13"/>
      <c r="D239" s="14"/>
      <c r="E239" s="14"/>
      <c r="F239" s="14"/>
      <c r="G239" s="14"/>
      <c r="H239" s="8"/>
    </row>
    <row r="240" spans="1:8" ht="15.95" customHeight="1">
      <c r="A240" s="9"/>
      <c r="B240" s="9"/>
      <c r="C240" s="13"/>
      <c r="D240" s="14"/>
      <c r="E240" s="14"/>
      <c r="F240" s="14"/>
      <c r="G240" s="14"/>
      <c r="H240" s="8"/>
    </row>
    <row r="241" spans="1:8" ht="15.95" customHeight="1">
      <c r="A241" s="9"/>
      <c r="B241" s="9"/>
      <c r="C241" s="13"/>
      <c r="D241" s="14"/>
      <c r="E241" s="14"/>
      <c r="F241" s="14"/>
      <c r="G241" s="14"/>
      <c r="H241" s="8"/>
    </row>
    <row r="242" spans="1:8" ht="15.95" customHeight="1">
      <c r="A242" s="9"/>
      <c r="B242" s="9"/>
      <c r="C242" s="13"/>
      <c r="D242" s="22"/>
      <c r="E242" s="22"/>
      <c r="F242" s="22"/>
      <c r="G242" s="22"/>
      <c r="H242" s="8"/>
    </row>
    <row r="243" spans="1:8" ht="15.95" customHeight="1">
      <c r="A243" s="9"/>
      <c r="B243" s="9"/>
      <c r="C243" s="13"/>
      <c r="D243" s="14"/>
      <c r="E243" s="14"/>
      <c r="F243" s="14"/>
      <c r="G243" s="14"/>
      <c r="H243" s="8"/>
    </row>
    <row r="244" spans="1:8" ht="15.95" customHeight="1">
      <c r="A244" s="9"/>
      <c r="B244" s="9"/>
      <c r="C244" s="13"/>
      <c r="D244" s="14"/>
      <c r="E244" s="14"/>
      <c r="F244" s="14"/>
      <c r="G244" s="14"/>
      <c r="H244" s="8"/>
    </row>
    <row r="245" spans="1:8" ht="15.95" customHeight="1">
      <c r="A245" s="9"/>
      <c r="B245" s="9"/>
      <c r="C245" s="13"/>
      <c r="D245" s="14"/>
      <c r="E245" s="14"/>
      <c r="F245" s="14"/>
      <c r="G245" s="14"/>
      <c r="H245" s="8"/>
    </row>
    <row r="246" spans="1:8" ht="15.95" customHeight="1">
      <c r="A246" s="9"/>
      <c r="B246" s="9"/>
      <c r="C246" s="13"/>
      <c r="D246" s="14"/>
      <c r="E246" s="14"/>
      <c r="F246" s="14"/>
      <c r="G246" s="14"/>
      <c r="H246" s="8"/>
    </row>
    <row r="247" spans="1:8" ht="15.95" customHeight="1">
      <c r="A247" s="9"/>
      <c r="B247" s="9"/>
      <c r="C247" s="13"/>
      <c r="D247" s="14"/>
      <c r="E247" s="14"/>
      <c r="F247" s="14"/>
      <c r="G247" s="14"/>
      <c r="H247" s="8">
        <v>9</v>
      </c>
    </row>
    <row r="248" spans="1:8" ht="15.95" customHeight="1">
      <c r="A248" s="9"/>
      <c r="B248" s="9"/>
      <c r="C248" s="13"/>
      <c r="D248" s="14"/>
      <c r="E248" s="14"/>
      <c r="F248" s="14"/>
      <c r="G248" s="14"/>
      <c r="H248" s="8"/>
    </row>
    <row r="249" spans="1:8" ht="39.950000000000003" customHeight="1">
      <c r="A249" s="60" t="s">
        <v>93</v>
      </c>
      <c r="B249" s="61"/>
      <c r="C249" s="61"/>
      <c r="D249" s="61"/>
      <c r="E249" s="61"/>
      <c r="F249" s="61"/>
      <c r="G249" s="61"/>
      <c r="H249" s="62"/>
    </row>
    <row r="250" spans="1:8" ht="15.95" customHeight="1">
      <c r="A250" s="44" t="s">
        <v>38</v>
      </c>
      <c r="B250" s="45" t="s">
        <v>48</v>
      </c>
      <c r="C250" s="46" t="s">
        <v>39</v>
      </c>
      <c r="D250" s="53" t="s">
        <v>40</v>
      </c>
      <c r="E250" s="54"/>
      <c r="F250" s="55"/>
      <c r="G250" s="56" t="s">
        <v>41</v>
      </c>
      <c r="H250" s="58" t="s">
        <v>42</v>
      </c>
    </row>
    <row r="251" spans="1:8" ht="30" customHeight="1">
      <c r="A251" s="44"/>
      <c r="B251" s="45"/>
      <c r="C251" s="47"/>
      <c r="D251" s="17" t="s">
        <v>43</v>
      </c>
      <c r="E251" s="17" t="s">
        <v>44</v>
      </c>
      <c r="F251" s="18" t="s">
        <v>49</v>
      </c>
      <c r="G251" s="57"/>
      <c r="H251" s="59"/>
    </row>
    <row r="252" spans="1:8" ht="32.1" customHeight="1">
      <c r="A252" s="40" t="s">
        <v>0</v>
      </c>
      <c r="B252" s="5" t="s">
        <v>32</v>
      </c>
      <c r="C252" s="15">
        <v>220</v>
      </c>
      <c r="D252" s="7">
        <f>11.296*220/155</f>
        <v>16.033032258064516</v>
      </c>
      <c r="E252" s="7">
        <f>14.982*220/155</f>
        <v>21.264774193548387</v>
      </c>
      <c r="F252" s="7">
        <f>35.573*220/155</f>
        <v>50.49070967741936</v>
      </c>
      <c r="G252" s="7">
        <f>329.255*220/155</f>
        <v>467.32967741935488</v>
      </c>
      <c r="H252" s="1" t="s">
        <v>94</v>
      </c>
    </row>
    <row r="253" spans="1:8" ht="15.95" customHeight="1">
      <c r="A253" s="41"/>
      <c r="B253" s="5" t="s">
        <v>25</v>
      </c>
      <c r="C253" s="15">
        <v>55</v>
      </c>
      <c r="D253" s="7">
        <v>5.1944444444444446</v>
      </c>
      <c r="E253" s="7">
        <v>11.464444444444446</v>
      </c>
      <c r="F253" s="7">
        <v>20.228999999999999</v>
      </c>
      <c r="G253" s="7">
        <v>145.07777777777778</v>
      </c>
      <c r="H253" s="1" t="s">
        <v>86</v>
      </c>
    </row>
    <row r="254" spans="1:8" ht="15.95" customHeight="1">
      <c r="A254" s="41"/>
      <c r="B254" s="5" t="s">
        <v>2</v>
      </c>
      <c r="C254" s="15">
        <v>100</v>
      </c>
      <c r="D254" s="7">
        <v>1</v>
      </c>
      <c r="E254" s="7">
        <v>0.4</v>
      </c>
      <c r="F254" s="7">
        <v>15.4</v>
      </c>
      <c r="G254" s="7">
        <v>71.5</v>
      </c>
      <c r="H254" s="1" t="s">
        <v>53</v>
      </c>
    </row>
    <row r="255" spans="1:8" ht="15.95" customHeight="1">
      <c r="A255" s="41"/>
      <c r="B255" s="5" t="s">
        <v>14</v>
      </c>
      <c r="C255" s="15">
        <v>200</v>
      </c>
      <c r="D255" s="7">
        <v>1.736</v>
      </c>
      <c r="E255" s="7">
        <v>4.0204000000000004</v>
      </c>
      <c r="F255" s="7">
        <v>11.459</v>
      </c>
      <c r="G255" s="7">
        <v>84.846000000000004</v>
      </c>
      <c r="H255" s="1" t="s">
        <v>63</v>
      </c>
    </row>
    <row r="256" spans="1:8" s="20" customFormat="1" ht="15.95" customHeight="1">
      <c r="A256" s="42" t="s">
        <v>45</v>
      </c>
      <c r="B256" s="43"/>
      <c r="C256" s="3">
        <f>SUM(C252:C255)</f>
        <v>575</v>
      </c>
      <c r="D256" s="4">
        <f>SUM(D252:D255)</f>
        <v>23.963476702508959</v>
      </c>
      <c r="E256" s="4">
        <f>SUM(E252:E255)</f>
        <v>37.14961863799283</v>
      </c>
      <c r="F256" s="4">
        <f>SUM(F252:F255)</f>
        <v>97.578709677419369</v>
      </c>
      <c r="G256" s="4">
        <f>SUM(G252:G255)</f>
        <v>768.75345519713267</v>
      </c>
      <c r="H256" s="6"/>
    </row>
    <row r="257" spans="1:8" ht="32.1" customHeight="1">
      <c r="A257" s="40" t="s">
        <v>3</v>
      </c>
      <c r="B257" s="5" t="s">
        <v>140</v>
      </c>
      <c r="C257" s="15">
        <v>100</v>
      </c>
      <c r="D257" s="7">
        <f>0.504*100/60</f>
        <v>0.84</v>
      </c>
      <c r="E257" s="7">
        <f>0.063*100/60</f>
        <v>0.105</v>
      </c>
      <c r="F257" s="7">
        <f>1.071*100/60</f>
        <v>1.7849999999999999</v>
      </c>
      <c r="G257" s="7">
        <f>8.19*100/60</f>
        <v>13.65</v>
      </c>
      <c r="H257" s="1" t="s">
        <v>95</v>
      </c>
    </row>
    <row r="258" spans="1:8" ht="15.95" customHeight="1">
      <c r="A258" s="41"/>
      <c r="B258" s="5" t="s">
        <v>33</v>
      </c>
      <c r="C258" s="15">
        <v>250</v>
      </c>
      <c r="D258" s="7">
        <f>4.9822*250/200</f>
        <v>6.2277499999999995</v>
      </c>
      <c r="E258" s="7">
        <f>6.5446*250/200</f>
        <v>8.1807499999999997</v>
      </c>
      <c r="F258" s="7">
        <f>18.5785*250/200</f>
        <v>23.223125</v>
      </c>
      <c r="G258" s="7">
        <f>159.308*250/200</f>
        <v>199.13499999999999</v>
      </c>
      <c r="H258" s="1" t="s">
        <v>82</v>
      </c>
    </row>
    <row r="259" spans="1:8" ht="15.95" customHeight="1">
      <c r="A259" s="41"/>
      <c r="B259" s="5" t="s">
        <v>34</v>
      </c>
      <c r="C259" s="15">
        <v>100</v>
      </c>
      <c r="D259" s="7">
        <f>11.2976*100/90</f>
        <v>12.552888888888889</v>
      </c>
      <c r="E259" s="7">
        <f>5.7092*100/90</f>
        <v>6.3435555555555547</v>
      </c>
      <c r="F259" s="7">
        <f>11.4507*100/90</f>
        <v>12.722999999999999</v>
      </c>
      <c r="G259" s="7">
        <f>178.763*100/90</f>
        <v>198.62555555555554</v>
      </c>
      <c r="H259" s="1" t="s">
        <v>96</v>
      </c>
    </row>
    <row r="260" spans="1:8" ht="15.95" customHeight="1">
      <c r="A260" s="41"/>
      <c r="B260" s="5" t="s">
        <v>19</v>
      </c>
      <c r="C260" s="15">
        <v>180</v>
      </c>
      <c r="D260" s="7">
        <f>5.3625*180/150</f>
        <v>6.4349999999999996</v>
      </c>
      <c r="E260" s="7">
        <f>5.1549*180/150</f>
        <v>6.18588</v>
      </c>
      <c r="F260" s="7">
        <f>30.13*180/150</f>
        <v>36.155999999999999</v>
      </c>
      <c r="G260" s="7">
        <f>188.258*180/150</f>
        <v>225.90960000000001</v>
      </c>
      <c r="H260" s="1" t="s">
        <v>71</v>
      </c>
    </row>
    <row r="261" spans="1:8" ht="15.95" customHeight="1">
      <c r="A261" s="41"/>
      <c r="B261" s="5" t="s">
        <v>24</v>
      </c>
      <c r="C261" s="15">
        <v>200</v>
      </c>
      <c r="D261" s="7">
        <v>0.108</v>
      </c>
      <c r="E261" s="7">
        <v>0.108</v>
      </c>
      <c r="F261" s="7">
        <v>11.628</v>
      </c>
      <c r="G261" s="7">
        <v>47.898000000000003</v>
      </c>
      <c r="H261" s="1" t="s">
        <v>79</v>
      </c>
    </row>
    <row r="262" spans="1:8" ht="15.95" customHeight="1">
      <c r="A262" s="41"/>
      <c r="B262" s="5" t="s">
        <v>4</v>
      </c>
      <c r="C262" s="15">
        <v>70</v>
      </c>
      <c r="D262" s="7">
        <f>3.735*70/48</f>
        <v>5.4468749999999995</v>
      </c>
      <c r="E262" s="7">
        <f>0.675*70/48</f>
        <v>0.984375</v>
      </c>
      <c r="F262" s="7">
        <f>21.645*70/48</f>
        <v>31.565624999999997</v>
      </c>
      <c r="G262" s="7">
        <f>116.55*70/48</f>
        <v>169.96875</v>
      </c>
      <c r="H262" s="1" t="s">
        <v>58</v>
      </c>
    </row>
    <row r="263" spans="1:8" ht="15.95" customHeight="1">
      <c r="A263" s="41"/>
      <c r="B263" s="5" t="s">
        <v>1</v>
      </c>
      <c r="C263" s="15">
        <v>65</v>
      </c>
      <c r="D263" s="7">
        <f>3.8*65/50</f>
        <v>4.9400000000000004</v>
      </c>
      <c r="E263" s="7">
        <f>0.45*65/50</f>
        <v>0.58499999999999996</v>
      </c>
      <c r="F263" s="7">
        <f>24.75*65/50</f>
        <v>32.174999999999997</v>
      </c>
      <c r="G263" s="7">
        <f>135*65/50</f>
        <v>175.5</v>
      </c>
      <c r="H263" s="1" t="s">
        <v>59</v>
      </c>
    </row>
    <row r="264" spans="1:8" s="20" customFormat="1" ht="15.95" customHeight="1">
      <c r="A264" s="42" t="s">
        <v>46</v>
      </c>
      <c r="B264" s="43"/>
      <c r="C264" s="3">
        <f>SUM(C257:C263)</f>
        <v>965</v>
      </c>
      <c r="D264" s="4">
        <f>SUM(D257:D263)</f>
        <v>36.550513888888887</v>
      </c>
      <c r="E264" s="4">
        <f>SUM(E257:E263)</f>
        <v>22.492560555555556</v>
      </c>
      <c r="F264" s="4">
        <f>SUM(F257:F263)</f>
        <v>149.25574999999998</v>
      </c>
      <c r="G264" s="4">
        <f>SUM(G257:G263)</f>
        <v>1030.6869055555558</v>
      </c>
      <c r="H264" s="6"/>
    </row>
    <row r="265" spans="1:8" s="20" customFormat="1" ht="15.95" customHeight="1">
      <c r="A265" s="51" t="s">
        <v>136</v>
      </c>
      <c r="B265" s="5" t="s">
        <v>9</v>
      </c>
      <c r="C265" s="35">
        <v>3</v>
      </c>
      <c r="D265" s="19">
        <v>0</v>
      </c>
      <c r="E265" s="19">
        <v>0</v>
      </c>
      <c r="F265" s="19">
        <v>0</v>
      </c>
      <c r="G265" s="19">
        <v>0</v>
      </c>
      <c r="H265" s="6"/>
    </row>
    <row r="266" spans="1:8" s="20" customFormat="1" ht="15.95" customHeight="1">
      <c r="A266" s="52"/>
      <c r="B266" s="5" t="s">
        <v>137</v>
      </c>
      <c r="C266" s="36">
        <v>7.0000000000000007E-2</v>
      </c>
      <c r="D266" s="19">
        <v>5.9999999999999995E-5</v>
      </c>
      <c r="E266" s="19">
        <v>5.9999999999999995E-5</v>
      </c>
      <c r="F266" s="19">
        <f>0.057468*0.07/0.06</f>
        <v>6.7046000000000008E-2</v>
      </c>
      <c r="G266" s="19">
        <f>0.139038*0.07/0.06</f>
        <v>0.16221100000000002</v>
      </c>
      <c r="H266" s="6"/>
    </row>
    <row r="267" spans="1:8" ht="15.95" customHeight="1">
      <c r="A267" s="48" t="s">
        <v>132</v>
      </c>
      <c r="B267" s="49"/>
      <c r="C267" s="50"/>
      <c r="D267" s="4">
        <f>D256+D264+D265+D266</f>
        <v>60.51405059139784</v>
      </c>
      <c r="E267" s="4">
        <f>E256+E264+E265+E266</f>
        <v>59.642239193548384</v>
      </c>
      <c r="F267" s="4">
        <f>F256+F264+F265+F266</f>
        <v>246.90150567741935</v>
      </c>
      <c r="G267" s="4">
        <f>G256+G264+G265+G266</f>
        <v>1799.6025717526884</v>
      </c>
      <c r="H267" s="1"/>
    </row>
    <row r="268" spans="1:8" ht="15.95" customHeight="1">
      <c r="A268" s="9"/>
      <c r="B268" s="9"/>
      <c r="C268" s="13"/>
      <c r="D268" s="14"/>
      <c r="E268" s="14"/>
      <c r="F268" s="14"/>
      <c r="G268" s="14"/>
      <c r="H268" s="8"/>
    </row>
    <row r="269" spans="1:8" ht="15.95" customHeight="1">
      <c r="A269" s="9"/>
      <c r="B269" s="9"/>
      <c r="C269" s="13"/>
      <c r="D269" s="14"/>
      <c r="E269" s="14"/>
      <c r="F269" s="14"/>
      <c r="G269" s="14"/>
      <c r="H269" s="8"/>
    </row>
    <row r="270" spans="1:8" ht="15.95" customHeight="1">
      <c r="A270" s="9"/>
      <c r="B270" s="9"/>
      <c r="C270" s="13"/>
      <c r="D270" s="14"/>
      <c r="E270" s="14"/>
      <c r="F270" s="14"/>
      <c r="G270" s="14"/>
      <c r="H270" s="8"/>
    </row>
    <row r="271" spans="1:8" ht="15.95" customHeight="1">
      <c r="A271" s="9"/>
      <c r="B271" s="9"/>
      <c r="C271" s="13"/>
      <c r="D271" s="14"/>
      <c r="E271" s="14"/>
      <c r="F271" s="14"/>
      <c r="G271" s="14"/>
      <c r="H271" s="8"/>
    </row>
    <row r="272" spans="1:8" ht="15.95" customHeight="1">
      <c r="A272" s="9"/>
      <c r="B272" s="9"/>
      <c r="C272" s="13"/>
      <c r="D272" s="14"/>
      <c r="E272" s="14"/>
      <c r="F272" s="14"/>
      <c r="G272" s="14"/>
      <c r="H272" s="8"/>
    </row>
    <row r="273" spans="1:8" ht="15.95" customHeight="1">
      <c r="A273" s="9"/>
      <c r="B273" s="9"/>
      <c r="C273" s="13"/>
      <c r="D273" s="22"/>
      <c r="E273" s="22"/>
      <c r="F273" s="22"/>
      <c r="G273" s="22"/>
      <c r="H273" s="8"/>
    </row>
    <row r="274" spans="1:8" ht="15.95" customHeight="1">
      <c r="A274" s="9"/>
      <c r="B274" s="9"/>
      <c r="C274" s="13"/>
      <c r="D274" s="14"/>
      <c r="E274" s="14"/>
      <c r="F274" s="14"/>
      <c r="G274" s="14"/>
      <c r="H274" s="8"/>
    </row>
    <row r="275" spans="1:8" ht="15.95" customHeight="1">
      <c r="A275" s="9"/>
      <c r="B275" s="9"/>
      <c r="C275" s="13"/>
      <c r="D275" s="14"/>
      <c r="E275" s="14"/>
      <c r="F275" s="14"/>
      <c r="G275" s="14"/>
      <c r="H275" s="8"/>
    </row>
    <row r="276" spans="1:8" s="8" customFormat="1" ht="15.95" customHeight="1">
      <c r="A276" s="9"/>
      <c r="B276" s="10"/>
      <c r="C276" s="11"/>
      <c r="D276" s="12"/>
      <c r="E276" s="12"/>
      <c r="F276" s="12"/>
      <c r="G276" s="12"/>
    </row>
    <row r="277" spans="1:8" s="8" customFormat="1" ht="15.95" customHeight="1">
      <c r="A277" s="9"/>
      <c r="B277" s="10"/>
      <c r="C277" s="11"/>
      <c r="D277" s="12"/>
      <c r="E277" s="12"/>
      <c r="F277" s="12"/>
      <c r="G277" s="12"/>
      <c r="H277" s="8">
        <v>10</v>
      </c>
    </row>
    <row r="278" spans="1:8" s="8" customFormat="1" ht="15.95" customHeight="1">
      <c r="A278" s="9"/>
      <c r="B278" s="9"/>
      <c r="C278" s="13"/>
      <c r="D278" s="14"/>
      <c r="E278" s="14"/>
      <c r="F278" s="14"/>
      <c r="G278" s="14"/>
    </row>
    <row r="279" spans="1:8" ht="39.950000000000003" customHeight="1">
      <c r="A279" s="60" t="s">
        <v>97</v>
      </c>
      <c r="B279" s="61"/>
      <c r="C279" s="61"/>
      <c r="D279" s="61"/>
      <c r="E279" s="61"/>
      <c r="F279" s="61"/>
      <c r="G279" s="61"/>
      <c r="H279" s="62"/>
    </row>
    <row r="280" spans="1:8" ht="15.95" customHeight="1">
      <c r="A280" s="44" t="s">
        <v>38</v>
      </c>
      <c r="B280" s="45" t="s">
        <v>48</v>
      </c>
      <c r="C280" s="46" t="s">
        <v>39</v>
      </c>
      <c r="D280" s="53" t="s">
        <v>40</v>
      </c>
      <c r="E280" s="54"/>
      <c r="F280" s="55"/>
      <c r="G280" s="56" t="s">
        <v>41</v>
      </c>
      <c r="H280" s="58" t="s">
        <v>42</v>
      </c>
    </row>
    <row r="281" spans="1:8" ht="30" customHeight="1">
      <c r="A281" s="44"/>
      <c r="B281" s="45"/>
      <c r="C281" s="47"/>
      <c r="D281" s="17" t="s">
        <v>43</v>
      </c>
      <c r="E281" s="17" t="s">
        <v>44</v>
      </c>
      <c r="F281" s="18" t="s">
        <v>49</v>
      </c>
      <c r="G281" s="57"/>
      <c r="H281" s="59"/>
    </row>
    <row r="282" spans="1:8" ht="15.95" customHeight="1">
      <c r="A282" s="40" t="s">
        <v>0</v>
      </c>
      <c r="B282" s="5" t="s">
        <v>23</v>
      </c>
      <c r="C282" s="15">
        <v>150</v>
      </c>
      <c r="D282" s="7">
        <f>1.98*150/100</f>
        <v>2.97</v>
      </c>
      <c r="E282" s="7">
        <f>3.2*150/100</f>
        <v>4.8</v>
      </c>
      <c r="F282" s="7">
        <f>23.2133333333333*150/100</f>
        <v>34.819999999999951</v>
      </c>
      <c r="G282" s="7">
        <f>118.166666666667*150/100</f>
        <v>177.25000000000051</v>
      </c>
      <c r="H282" s="1" t="s">
        <v>78</v>
      </c>
    </row>
    <row r="283" spans="1:8" ht="15.95" customHeight="1">
      <c r="A283" s="41"/>
      <c r="B283" s="5" t="s">
        <v>31</v>
      </c>
      <c r="C283" s="15">
        <v>90</v>
      </c>
      <c r="D283" s="7">
        <f>9.4586666666667*90/80</f>
        <v>10.641000000000037</v>
      </c>
      <c r="E283" s="7">
        <f>13.79*90/80</f>
        <v>15.513749999999998</v>
      </c>
      <c r="F283" s="7">
        <f>25.912*90/80</f>
        <v>29.151</v>
      </c>
      <c r="G283" s="7">
        <f>235.973*90/80</f>
        <v>265.46962500000001</v>
      </c>
      <c r="H283" s="1" t="s">
        <v>91</v>
      </c>
    </row>
    <row r="284" spans="1:8" ht="15.95" customHeight="1">
      <c r="A284" s="41"/>
      <c r="B284" s="5" t="s">
        <v>17</v>
      </c>
      <c r="C284" s="15">
        <v>200</v>
      </c>
      <c r="D284" s="7">
        <v>6.9999999999999999E-4</v>
      </c>
      <c r="E284" s="7">
        <v>0</v>
      </c>
      <c r="F284" s="7">
        <v>7.0350000000000001</v>
      </c>
      <c r="G284" s="7">
        <v>28.126000000000001</v>
      </c>
      <c r="H284" s="1" t="s">
        <v>68</v>
      </c>
    </row>
    <row r="285" spans="1:8" ht="15.95" customHeight="1">
      <c r="A285" s="41"/>
      <c r="B285" s="5" t="s">
        <v>2</v>
      </c>
      <c r="C285" s="15">
        <v>100</v>
      </c>
      <c r="D285" s="7">
        <v>1</v>
      </c>
      <c r="E285" s="7">
        <v>0.4</v>
      </c>
      <c r="F285" s="7">
        <v>15.4</v>
      </c>
      <c r="G285" s="7">
        <v>71.5</v>
      </c>
      <c r="H285" s="1" t="s">
        <v>53</v>
      </c>
    </row>
    <row r="286" spans="1:8" ht="15.95" customHeight="1">
      <c r="A286" s="41"/>
      <c r="B286" s="5" t="s">
        <v>1</v>
      </c>
      <c r="C286" s="15">
        <v>40</v>
      </c>
      <c r="D286" s="7">
        <f>2.28*40/30</f>
        <v>3.0399999999999996</v>
      </c>
      <c r="E286" s="7">
        <f>0.27*40/30</f>
        <v>0.36000000000000004</v>
      </c>
      <c r="F286" s="7">
        <f>14.85*40/30</f>
        <v>19.8</v>
      </c>
      <c r="G286" s="7">
        <f>81*40/30</f>
        <v>108</v>
      </c>
      <c r="H286" s="1" t="s">
        <v>59</v>
      </c>
    </row>
    <row r="287" spans="1:8" s="20" customFormat="1" ht="15.95" customHeight="1">
      <c r="A287" s="42" t="s">
        <v>45</v>
      </c>
      <c r="B287" s="43"/>
      <c r="C287" s="3">
        <f>SUM(C282:C286)</f>
        <v>580</v>
      </c>
      <c r="D287" s="4">
        <f>SUM(D282:D286)</f>
        <v>17.651700000000037</v>
      </c>
      <c r="E287" s="4">
        <f>SUM(E282:E286)</f>
        <v>21.073749999999997</v>
      </c>
      <c r="F287" s="4">
        <f>SUM(F282:F286)</f>
        <v>106.20599999999995</v>
      </c>
      <c r="G287" s="4">
        <f>SUM(G282:G286)</f>
        <v>650.3456250000005</v>
      </c>
      <c r="H287" s="6"/>
    </row>
    <row r="288" spans="1:8" ht="15.95" customHeight="1">
      <c r="A288" s="41" t="s">
        <v>3</v>
      </c>
      <c r="B288" s="5" t="s">
        <v>5</v>
      </c>
      <c r="C288" s="15">
        <v>100</v>
      </c>
      <c r="D288" s="7">
        <f>0.96*100/60</f>
        <v>1.6</v>
      </c>
      <c r="E288" s="7">
        <f>3.78*100/60</f>
        <v>6.3</v>
      </c>
      <c r="F288" s="7">
        <f>4.44*100/60</f>
        <v>7.4000000000000012</v>
      </c>
      <c r="G288" s="7">
        <f>54.48*100/60</f>
        <v>90.8</v>
      </c>
      <c r="H288" s="1" t="s">
        <v>112</v>
      </c>
    </row>
    <row r="289" spans="1:8" ht="32.1" customHeight="1">
      <c r="A289" s="41"/>
      <c r="B289" s="5" t="s">
        <v>107</v>
      </c>
      <c r="C289" s="15">
        <v>250</v>
      </c>
      <c r="D289" s="7">
        <f>2.9592*250/200</f>
        <v>3.6990000000000003</v>
      </c>
      <c r="E289" s="7">
        <f>3.1348*250/200</f>
        <v>3.9184999999999999</v>
      </c>
      <c r="F289" s="7">
        <f>19.5415*250/200</f>
        <v>24.426874999999999</v>
      </c>
      <c r="G289" s="7">
        <f>123.136*250/200</f>
        <v>153.91999999999999</v>
      </c>
      <c r="H289" s="1" t="s">
        <v>121</v>
      </c>
    </row>
    <row r="290" spans="1:8" ht="15.95" customHeight="1">
      <c r="A290" s="41"/>
      <c r="B290" s="5" t="s">
        <v>35</v>
      </c>
      <c r="C290" s="15">
        <v>280</v>
      </c>
      <c r="D290" s="7">
        <f>14.9293*280/240</f>
        <v>17.417516666666664</v>
      </c>
      <c r="E290" s="7">
        <f>16.3365*280/240</f>
        <v>19.059250000000002</v>
      </c>
      <c r="F290" s="7">
        <f>32.565*280/240</f>
        <v>37.992499999999993</v>
      </c>
      <c r="G290" s="7">
        <f>278.744*280/240</f>
        <v>325.20133333333337</v>
      </c>
      <c r="H290" s="1" t="s">
        <v>98</v>
      </c>
    </row>
    <row r="291" spans="1:8" ht="15.95" customHeight="1">
      <c r="A291" s="41"/>
      <c r="B291" s="5" t="s">
        <v>36</v>
      </c>
      <c r="C291" s="15">
        <v>60</v>
      </c>
      <c r="D291" s="7">
        <v>3.4664000000000001</v>
      </c>
      <c r="E291" s="7">
        <v>4.8334000000000001</v>
      </c>
      <c r="F291" s="7">
        <v>39.568399999999997</v>
      </c>
      <c r="G291" s="7">
        <v>180.22319999999999</v>
      </c>
      <c r="H291" s="1" t="s">
        <v>99</v>
      </c>
    </row>
    <row r="292" spans="1:8" ht="15.95" customHeight="1">
      <c r="A292" s="41"/>
      <c r="B292" s="5" t="s">
        <v>102</v>
      </c>
      <c r="C292" s="15">
        <v>200</v>
      </c>
      <c r="D292" s="7">
        <v>0.11600000000000001</v>
      </c>
      <c r="E292" s="7">
        <v>0.108</v>
      </c>
      <c r="F292" s="7">
        <v>17.888000000000002</v>
      </c>
      <c r="G292" s="7">
        <v>74.957999999999998</v>
      </c>
      <c r="H292" s="1" t="s">
        <v>114</v>
      </c>
    </row>
    <row r="293" spans="1:8" ht="15.95" customHeight="1">
      <c r="A293" s="41"/>
      <c r="B293" s="5" t="s">
        <v>4</v>
      </c>
      <c r="C293" s="15">
        <v>70</v>
      </c>
      <c r="D293" s="7">
        <f>3.735*70/48</f>
        <v>5.4468749999999995</v>
      </c>
      <c r="E293" s="7">
        <f>0.675*70/48</f>
        <v>0.984375</v>
      </c>
      <c r="F293" s="7">
        <f>21.645*70/48</f>
        <v>31.565624999999997</v>
      </c>
      <c r="G293" s="7">
        <f>116.55*70/48</f>
        <v>169.96875</v>
      </c>
      <c r="H293" s="1" t="s">
        <v>58</v>
      </c>
    </row>
    <row r="294" spans="1:8" ht="15.95" customHeight="1">
      <c r="A294" s="41"/>
      <c r="B294" s="5" t="s">
        <v>1</v>
      </c>
      <c r="C294" s="15">
        <v>65</v>
      </c>
      <c r="D294" s="7">
        <f>3.8*65/50</f>
        <v>4.9400000000000004</v>
      </c>
      <c r="E294" s="7">
        <f>0.45*65/50</f>
        <v>0.58499999999999996</v>
      </c>
      <c r="F294" s="7">
        <f>24.75*65/50</f>
        <v>32.174999999999997</v>
      </c>
      <c r="G294" s="7">
        <f>135*65/50</f>
        <v>175.5</v>
      </c>
      <c r="H294" s="1" t="s">
        <v>59</v>
      </c>
    </row>
    <row r="295" spans="1:8" s="20" customFormat="1" ht="15.95" customHeight="1">
      <c r="A295" s="42" t="s">
        <v>46</v>
      </c>
      <c r="B295" s="43"/>
      <c r="C295" s="3">
        <f>SUM(C288:C294)</f>
        <v>1025</v>
      </c>
      <c r="D295" s="4">
        <f>SUM(D288:D294)</f>
        <v>36.68579166666666</v>
      </c>
      <c r="E295" s="4">
        <f>SUM(E288:E294)</f>
        <v>35.788525</v>
      </c>
      <c r="F295" s="4">
        <f>SUM(F288:F294)</f>
        <v>191.01639999999998</v>
      </c>
      <c r="G295" s="4">
        <f>SUM(G288:G294)</f>
        <v>1170.5712833333332</v>
      </c>
      <c r="H295" s="6"/>
    </row>
    <row r="296" spans="1:8" s="20" customFormat="1" ht="15.95" customHeight="1">
      <c r="A296" s="51" t="s">
        <v>136</v>
      </c>
      <c r="B296" s="5" t="s">
        <v>9</v>
      </c>
      <c r="C296" s="35">
        <v>3</v>
      </c>
      <c r="D296" s="19">
        <v>0</v>
      </c>
      <c r="E296" s="19">
        <v>0</v>
      </c>
      <c r="F296" s="19">
        <v>0</v>
      </c>
      <c r="G296" s="19">
        <v>0</v>
      </c>
      <c r="H296" s="6"/>
    </row>
    <row r="297" spans="1:8" s="20" customFormat="1" ht="15.95" customHeight="1">
      <c r="A297" s="52"/>
      <c r="B297" s="5" t="s">
        <v>137</v>
      </c>
      <c r="C297" s="36">
        <v>7.0000000000000007E-2</v>
      </c>
      <c r="D297" s="19">
        <v>5.9999999999999995E-5</v>
      </c>
      <c r="E297" s="19">
        <v>5.9999999999999995E-5</v>
      </c>
      <c r="F297" s="19">
        <f>0.057468*0.07/0.06</f>
        <v>6.7046000000000008E-2</v>
      </c>
      <c r="G297" s="19">
        <f>0.139038*0.07/0.06</f>
        <v>0.16221100000000002</v>
      </c>
      <c r="H297" s="6"/>
    </row>
    <row r="298" spans="1:8" ht="15.95" customHeight="1">
      <c r="A298" s="48" t="s">
        <v>133</v>
      </c>
      <c r="B298" s="49"/>
      <c r="C298" s="50"/>
      <c r="D298" s="4">
        <f>D287+D295+D296+D297</f>
        <v>54.337551666666691</v>
      </c>
      <c r="E298" s="4">
        <f>E287+E295+E296+E297</f>
        <v>56.862334999999995</v>
      </c>
      <c r="F298" s="4">
        <f>F287+F295+F296+F297</f>
        <v>297.28944599999994</v>
      </c>
      <c r="G298" s="4">
        <f>G287+G295+G296+G297</f>
        <v>1821.0791193333337</v>
      </c>
      <c r="H298" s="29"/>
    </row>
    <row r="299" spans="1:8" ht="15.95" customHeight="1">
      <c r="A299" s="48" t="s">
        <v>138</v>
      </c>
      <c r="B299" s="49"/>
      <c r="C299" s="50"/>
      <c r="D299" s="4">
        <f>(D175+D206+D236+D267+D298)/5</f>
        <v>57.380845578597032</v>
      </c>
      <c r="E299" s="4">
        <f>(E175+E206+E236+E267+E298)/5</f>
        <v>56.587039172042999</v>
      </c>
      <c r="F299" s="4">
        <f>(F175+F206+F236+F267+F298)/5</f>
        <v>251.9197212688172</v>
      </c>
      <c r="G299" s="4">
        <f>(G175+G206+G236+G267+G298)/5</f>
        <v>1741.0739132299029</v>
      </c>
      <c r="H299" s="29"/>
    </row>
    <row r="300" spans="1:8" ht="15.95" customHeight="1">
      <c r="A300" s="48" t="s">
        <v>123</v>
      </c>
      <c r="B300" s="49"/>
      <c r="C300" s="50"/>
      <c r="D300" s="4">
        <f>(D19+D49+D81+D113+D143+D175+D206+D236+D267+D298)/10</f>
        <v>56.494610297925149</v>
      </c>
      <c r="E300" s="4">
        <f>(E19+E49+E81+E113+E143+E175+E206+E236+E267+E298)/10</f>
        <v>56.534259059451458</v>
      </c>
      <c r="F300" s="4">
        <f>(F19+F49+F81+F113+F143+F175+F206+F236+F267+F298)/10</f>
        <v>249.63989757643759</v>
      </c>
      <c r="G300" s="4">
        <f>(G19+G49+G81+G113+G143+G175+G206+G236+G267+G298)/10</f>
        <v>1740.8948263247516</v>
      </c>
      <c r="H300" s="6"/>
    </row>
    <row r="301" spans="1:8" ht="15.95" customHeight="1">
      <c r="D301" s="31"/>
      <c r="E301" s="31"/>
      <c r="F301" s="31"/>
      <c r="G301" s="31"/>
    </row>
    <row r="302" spans="1:8" ht="15.95" customHeight="1">
      <c r="D302" s="31"/>
      <c r="E302" s="31"/>
      <c r="F302" s="31"/>
      <c r="G302" s="31"/>
    </row>
    <row r="303" spans="1:8" ht="15.95" customHeight="1">
      <c r="D303" s="31"/>
      <c r="E303" s="31"/>
      <c r="F303" s="31"/>
      <c r="G303" s="31"/>
    </row>
    <row r="304" spans="1:8" ht="15.95" customHeight="1">
      <c r="D304" s="14"/>
      <c r="E304" s="14"/>
      <c r="F304" s="14"/>
      <c r="G304" s="14"/>
    </row>
    <row r="305" spans="4:8" ht="15.95" customHeight="1"/>
    <row r="306" spans="4:8" ht="15.95" customHeight="1">
      <c r="D306" s="32"/>
      <c r="E306" s="32"/>
      <c r="F306" s="32"/>
      <c r="G306" s="32"/>
    </row>
    <row r="307" spans="4:8" ht="15.95" customHeight="1"/>
    <row r="308" spans="4:8" ht="15.95" customHeight="1">
      <c r="D308" s="34"/>
      <c r="E308" s="34"/>
      <c r="F308" s="34"/>
      <c r="G308" s="34"/>
      <c r="H308" s="16">
        <v>11</v>
      </c>
    </row>
  </sheetData>
  <mergeCells count="133">
    <mergeCell ref="A299:C299"/>
    <mergeCell ref="A300:C300"/>
    <mergeCell ref="A282:A286"/>
    <mergeCell ref="A287:B287"/>
    <mergeCell ref="A288:A294"/>
    <mergeCell ref="A295:B295"/>
    <mergeCell ref="A296:A297"/>
    <mergeCell ref="A298:C298"/>
    <mergeCell ref="A279:H279"/>
    <mergeCell ref="A280:A281"/>
    <mergeCell ref="B280:B281"/>
    <mergeCell ref="C280:C281"/>
    <mergeCell ref="D280:F280"/>
    <mergeCell ref="G280:G281"/>
    <mergeCell ref="H280:H281"/>
    <mergeCell ref="A252:A255"/>
    <mergeCell ref="A256:B256"/>
    <mergeCell ref="A257:A263"/>
    <mergeCell ref="A264:B264"/>
    <mergeCell ref="A265:A266"/>
    <mergeCell ref="A267:C267"/>
    <mergeCell ref="A249:H249"/>
    <mergeCell ref="A250:A251"/>
    <mergeCell ref="B250:B251"/>
    <mergeCell ref="C250:C251"/>
    <mergeCell ref="D250:F250"/>
    <mergeCell ref="G250:G251"/>
    <mergeCell ref="H250:H251"/>
    <mergeCell ref="A221:A224"/>
    <mergeCell ref="A225:B225"/>
    <mergeCell ref="A226:A232"/>
    <mergeCell ref="A233:B233"/>
    <mergeCell ref="A234:A235"/>
    <mergeCell ref="A236:C236"/>
    <mergeCell ref="A218:H218"/>
    <mergeCell ref="A219:A220"/>
    <mergeCell ref="B219:B220"/>
    <mergeCell ref="C219:C220"/>
    <mergeCell ref="D219:F219"/>
    <mergeCell ref="G219:G220"/>
    <mergeCell ref="H219:H220"/>
    <mergeCell ref="A190:A194"/>
    <mergeCell ref="A195:B195"/>
    <mergeCell ref="A196:A202"/>
    <mergeCell ref="A203:B203"/>
    <mergeCell ref="A204:A205"/>
    <mergeCell ref="A206:C206"/>
    <mergeCell ref="A187:H187"/>
    <mergeCell ref="A188:A189"/>
    <mergeCell ref="B188:B189"/>
    <mergeCell ref="C188:C189"/>
    <mergeCell ref="D188:F188"/>
    <mergeCell ref="G188:G189"/>
    <mergeCell ref="H188:H189"/>
    <mergeCell ref="A159:A163"/>
    <mergeCell ref="A164:B164"/>
    <mergeCell ref="A165:A171"/>
    <mergeCell ref="A172:B172"/>
    <mergeCell ref="A173:A174"/>
    <mergeCell ref="A175:C175"/>
    <mergeCell ref="A144:C144"/>
    <mergeCell ref="A156:H156"/>
    <mergeCell ref="A157:A158"/>
    <mergeCell ref="B157:B158"/>
    <mergeCell ref="C157:C158"/>
    <mergeCell ref="D157:F157"/>
    <mergeCell ref="G157:G158"/>
    <mergeCell ref="H157:H158"/>
    <mergeCell ref="A128:A131"/>
    <mergeCell ref="A132:B132"/>
    <mergeCell ref="A133:A139"/>
    <mergeCell ref="A140:B140"/>
    <mergeCell ref="A141:A142"/>
    <mergeCell ref="A143:C143"/>
    <mergeCell ref="A125:H125"/>
    <mergeCell ref="A126:A127"/>
    <mergeCell ref="B126:B127"/>
    <mergeCell ref="C126:C127"/>
    <mergeCell ref="D126:F126"/>
    <mergeCell ref="G126:G127"/>
    <mergeCell ref="H126:H127"/>
    <mergeCell ref="A97:A101"/>
    <mergeCell ref="A102:B102"/>
    <mergeCell ref="A103:A109"/>
    <mergeCell ref="A110:B110"/>
    <mergeCell ref="A111:A112"/>
    <mergeCell ref="A113:C113"/>
    <mergeCell ref="A94:H94"/>
    <mergeCell ref="A95:A96"/>
    <mergeCell ref="B95:B96"/>
    <mergeCell ref="C95:C96"/>
    <mergeCell ref="D95:F95"/>
    <mergeCell ref="G95:G96"/>
    <mergeCell ref="H95:H96"/>
    <mergeCell ref="A66:A69"/>
    <mergeCell ref="A70:B70"/>
    <mergeCell ref="A71:A77"/>
    <mergeCell ref="A78:B78"/>
    <mergeCell ref="A79:A80"/>
    <mergeCell ref="A81:C81"/>
    <mergeCell ref="A63:H63"/>
    <mergeCell ref="A64:A65"/>
    <mergeCell ref="B64:B65"/>
    <mergeCell ref="C64:C65"/>
    <mergeCell ref="D64:F64"/>
    <mergeCell ref="G64:G65"/>
    <mergeCell ref="H64:H65"/>
    <mergeCell ref="A34:A38"/>
    <mergeCell ref="A39:B39"/>
    <mergeCell ref="A40:A45"/>
    <mergeCell ref="A46:B46"/>
    <mergeCell ref="A47:A48"/>
    <mergeCell ref="A49:C49"/>
    <mergeCell ref="A31:H31"/>
    <mergeCell ref="A32:A33"/>
    <mergeCell ref="B32:B33"/>
    <mergeCell ref="C32:C33"/>
    <mergeCell ref="D32:F32"/>
    <mergeCell ref="G32:G33"/>
    <mergeCell ref="H32:H33"/>
    <mergeCell ref="A4:A7"/>
    <mergeCell ref="A8:B8"/>
    <mergeCell ref="A9:A15"/>
    <mergeCell ref="A16:B16"/>
    <mergeCell ref="A17:A18"/>
    <mergeCell ref="A19:C19"/>
    <mergeCell ref="A1:H1"/>
    <mergeCell ref="A2:A3"/>
    <mergeCell ref="B2:B3"/>
    <mergeCell ref="C2:C3"/>
    <mergeCell ref="D2:F2"/>
    <mergeCell ref="G2:G3"/>
    <mergeCell ref="H2:H3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школы (7-11 лет)</vt:lpstr>
      <vt:lpstr>Меню школы (12 лет и старше)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2022-08-30T08:10:13Z</cp:lastPrinted>
  <dcterms:created xsi:type="dcterms:W3CDTF">2021-05-17T04:42:30Z</dcterms:created>
  <dcterms:modified xsi:type="dcterms:W3CDTF">2022-09-08T13:04:37Z</dcterms:modified>
</cp:coreProperties>
</file>